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wolterskluwer-my.sharepoint.com/personal/manuel_aguado_wolterskluwer_com/Documents/Desktop/"/>
    </mc:Choice>
  </mc:AlternateContent>
  <xr:revisionPtr revIDLastSave="0" documentId="8_{57C24184-83C3-4B5D-A7F5-179B0E6496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utureJournals" sheetId="1" r:id="rId1"/>
    <sheet name="Future Books" sheetId="3" r:id="rId2"/>
    <sheet name="Browse URL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4" l="1"/>
  <c r="B6" i="4"/>
  <c r="B5" i="4"/>
  <c r="B4" i="4"/>
  <c r="B3" i="4"/>
  <c r="B2" i="4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<sst xmlns="http://schemas.openxmlformats.org/spreadsheetml/2006/main" count="3431" uniqueCount="1759">
  <si>
    <t>March 2003 - December 2011</t>
  </si>
  <si>
    <t>Obstetric Anesthesia Digest</t>
  </si>
  <si>
    <t>http://ovidsp.ovid.com/rss/journals/00132577/pap.rss</t>
  </si>
  <si>
    <t>Rogers' Textbook of Pediatric Intensive Care</t>
  </si>
  <si>
    <t>1536-0210</t>
  </si>
  <si>
    <t>Text Atlas of Obstetric Dermatology</t>
  </si>
  <si>
    <t>1525-4135</t>
  </si>
  <si>
    <t>Techniques in Foot &amp; Ankle Surgery</t>
  </si>
  <si>
    <t>1526-632X</t>
  </si>
  <si>
    <t>May 1922 - October 16, 2020</t>
  </si>
  <si>
    <t>Genitourinary Radiology</t>
  </si>
  <si>
    <t>Techniques in Knee Surgery</t>
  </si>
  <si>
    <t>High-Risk &amp; Critical Care: Obstetrics</t>
  </si>
  <si>
    <t>Clinical Scenarios in Vascular Surgery</t>
  </si>
  <si>
    <t>http://ovidsp.ovid.com/rss/journals/00012995/current.rss</t>
  </si>
  <si>
    <t>1473-6543</t>
  </si>
  <si>
    <t>Nutrition Today</t>
  </si>
  <si>
    <t>http://ovidsp.ovid.com/rss/journals/00006231/current.rss</t>
  </si>
  <si>
    <t>978-1-4963-9463-7</t>
  </si>
  <si>
    <t>Grabb and Smith's Plastic Surgery</t>
  </si>
  <si>
    <t>http://ovidsp.ovid.com/rss/journals/00001573/pap.rss</t>
  </si>
  <si>
    <t>1-4963-8824-0</t>
  </si>
  <si>
    <t>0269-9370</t>
  </si>
  <si>
    <t>1473-5873</t>
  </si>
  <si>
    <t>978-1-4963-2615-7</t>
  </si>
  <si>
    <t>978-1-5825-5462-4</t>
  </si>
  <si>
    <t>1538-8646</t>
  </si>
  <si>
    <t>Spine: Affiliated Society Meeting Abstracts</t>
  </si>
  <si>
    <t>&amp;copy; &lt;year&gt; by Lippincott Williams &amp; Wilkins.</t>
  </si>
  <si>
    <t>Browse All Journals@Ovid</t>
  </si>
  <si>
    <t>1-6054-7681-1</t>
  </si>
  <si>
    <t>2380-0194</t>
  </si>
  <si>
    <t>Berek &amp; Novak's Gynecology</t>
  </si>
  <si>
    <t>2161-1181</t>
  </si>
  <si>
    <t>Glenn's Urologic Surgery</t>
  </si>
  <si>
    <t>0160-6379</t>
  </si>
  <si>
    <t>1539-2864</t>
  </si>
  <si>
    <t>http://ovidsp.ovid.com/rss/journals/00004850/current.rss</t>
  </si>
  <si>
    <t>http://ovidsp.ovid.com/rss/journals/00006982/pap.rss</t>
  </si>
  <si>
    <t>http://ovidsp.ovid.com/rss/journals/00006396/pap.rss</t>
  </si>
  <si>
    <t>0-7817-3946-2</t>
  </si>
  <si>
    <t>1538-4667</t>
  </si>
  <si>
    <t>Operative Techniques in Breast Surgery, Trunk Reconstruction and Body Contouring</t>
  </si>
  <si>
    <t>1-9751-1342-X</t>
  </si>
  <si>
    <t>Emergency Medicine News</t>
  </si>
  <si>
    <t>Therapeutic Drug Monitoring</t>
  </si>
  <si>
    <t>1537-1948</t>
  </si>
  <si>
    <t>http://ovidsp.ovid.com/rss/journals/00587875/current.rss</t>
  </si>
  <si>
    <t>Spine</t>
  </si>
  <si>
    <t>Advances in Nursing Science</t>
  </si>
  <si>
    <t>Foot and Ankle Sports Medicine</t>
  </si>
  <si>
    <t>November 19, 2013 - October 2020</t>
  </si>
  <si>
    <t>0195-7910</t>
  </si>
  <si>
    <t>November 15, 2020</t>
  </si>
  <si>
    <t>Neurologist</t>
  </si>
  <si>
    <t>http://ovidsp.ovid.com/rss/journals/00004479/pap.rss</t>
  </si>
  <si>
    <t>Title</t>
  </si>
  <si>
    <t>http://ovidsp.ovid.com/rss/journals/00019048/current.rss</t>
  </si>
  <si>
    <t>978-1-9751-3641-3</t>
  </si>
  <si>
    <t>Evidence-Based Ophthalmology</t>
  </si>
  <si>
    <t>http://ovidsp.ovid.com/rss/journals/00002826/pap.rss</t>
  </si>
  <si>
    <t>January 1, 2018 - October 2020</t>
  </si>
  <si>
    <t>December 2011</t>
  </si>
  <si>
    <t>1-4698-8984-6</t>
  </si>
  <si>
    <t>1527-3792</t>
  </si>
  <si>
    <t>http://ovidsp.ovid.com/rss/journals/01709767/current.rss</t>
  </si>
  <si>
    <t>January 7, 2015 - October 21, 2020</t>
  </si>
  <si>
    <t>0263-6352</t>
  </si>
  <si>
    <t>13th_Edition</t>
  </si>
  <si>
    <t>Winter 2015</t>
  </si>
  <si>
    <t>1-4963-4742-0</t>
  </si>
  <si>
    <t>1-4963-1219-8</t>
  </si>
  <si>
    <t>0147-5185</t>
  </si>
  <si>
    <t>0-7817-6580-3</t>
  </si>
  <si>
    <t>978-1-4511-5149-7</t>
  </si>
  <si>
    <t>1932-751X</t>
  </si>
  <si>
    <t>Khan's Lectures: Handbook of the Physics of Radiation Therapy</t>
  </si>
  <si>
    <t>978-1-4963-7200-0</t>
  </si>
  <si>
    <t>978-1-4511-7674-2</t>
  </si>
  <si>
    <t>978-0-7817-8057-5</t>
  </si>
  <si>
    <t>Acute Care Surgery</t>
  </si>
  <si>
    <t>1529-4242</t>
  </si>
  <si>
    <t>1538-8689</t>
  </si>
  <si>
    <t>978-1-4511-9301-5</t>
  </si>
  <si>
    <t>http://ovidsp.ovid.com/rss/journals/00003246/pap.rss</t>
  </si>
  <si>
    <t>0749-8047</t>
  </si>
  <si>
    <t>http://ovidsp.ovid.com/rss/journals/01213011/pap.rss</t>
  </si>
  <si>
    <t>978-1-9751-1333-9</t>
  </si>
  <si>
    <t>1531-7056</t>
  </si>
  <si>
    <t>0021-9355</t>
  </si>
  <si>
    <t>978-1-6083-1300-6</t>
  </si>
  <si>
    <t>http://ovidsp.ovid.com/rss/journals/00055735/current.rss</t>
  </si>
  <si>
    <t>http://ovidsp.ovid.com/rss/journals/00000539/pap.rss</t>
  </si>
  <si>
    <t>Bethesda Handbook of Clinical Hematology, The</t>
  </si>
  <si>
    <t>1-4963-2808-6</t>
  </si>
  <si>
    <t>1538-1943</t>
  </si>
  <si>
    <t>1473-5717</t>
  </si>
  <si>
    <t>Advanced Emergency Nursing Journal</t>
  </si>
  <si>
    <t>0091-6331</t>
  </si>
  <si>
    <t>1473-6535</t>
  </si>
  <si>
    <t>1552-3624</t>
  </si>
  <si>
    <t>14th_Edition</t>
  </si>
  <si>
    <t>http://ovidsp.ovid.com/rss/journals/00008486/current.rss</t>
  </si>
  <si>
    <t>1531-2291</t>
  </si>
  <si>
    <t>Bethesda Handbook of Clinical Oncology, The</t>
  </si>
  <si>
    <t>http://ovidsp.ovid.com/rss/journals/00075200/current.rss</t>
  </si>
  <si>
    <t>9S</t>
  </si>
  <si>
    <t>Transplantation Direct</t>
  </si>
  <si>
    <t>Hensley's Practical Approach to Cardiothoracic Anesthesia</t>
  </si>
  <si>
    <t>http://ovidsp.ovid.com/rss/journals/00125480/pap.rss</t>
  </si>
  <si>
    <t>Topics in Pain Management</t>
  </si>
  <si>
    <t>http://ovidsp.ovid.com/rss/journals/00063110/current.rss</t>
  </si>
  <si>
    <t>Emans, Laufer, Goldstein's Pediatric &amp; Adolescent Gynecology</t>
  </si>
  <si>
    <t>Anesthesia &amp; Analgesia</t>
  </si>
  <si>
    <t>Civetta, Taylor, &amp; Kirby's: Critical Care Medicine</t>
  </si>
  <si>
    <t>Rockwood and Wilkins' Fractures in Children</t>
  </si>
  <si>
    <t>1-4963-7712-5</t>
  </si>
  <si>
    <t>978-1-4963-7723-4</t>
  </si>
  <si>
    <t>1525-5794</t>
  </si>
  <si>
    <t>February 2015 - November 2020</t>
  </si>
  <si>
    <t>1-4511-0814-1</t>
  </si>
  <si>
    <t>http://ovidsp.ovid.com/rss/journals/00043426/current.rss</t>
  </si>
  <si>
    <t>http://ovidsp.ovid.com/rss/journals/00002060/pap.rss</t>
  </si>
  <si>
    <t>1-4963-4907-5</t>
  </si>
  <si>
    <t>PAP</t>
  </si>
  <si>
    <t>Clinical Management of Binocular Vision: Heterophoric, Accommodative, and Eye Movement Disorders</t>
  </si>
  <si>
    <t>1-4963-6029-X</t>
  </si>
  <si>
    <t>http://ovidsp.ovid.com/rss/journals/00006534/pap.rss</t>
  </si>
  <si>
    <t>Nursing Management</t>
  </si>
  <si>
    <t>http://ovidsp.ovid.com/rss/journals/00000433/current.rss</t>
  </si>
  <si>
    <t>0271-0749</t>
  </si>
  <si>
    <t>Pediatric Radiation Oncology</t>
  </si>
  <si>
    <t>Contemporary Neurosurgery</t>
  </si>
  <si>
    <t>0268-4705</t>
  </si>
  <si>
    <t>http://ovidsp.ovid.com/rss/journals/00005768/current.rss</t>
  </si>
  <si>
    <t>Winter 2015 - Fall 2020</t>
  </si>
  <si>
    <t>http://ovidsp.ovid.com/rss/journals/00004872/current.rss</t>
  </si>
  <si>
    <t>978-1-6091-3971-1</t>
  </si>
  <si>
    <t>978-1-9751-0558-7</t>
  </si>
  <si>
    <t>1524-4628</t>
  </si>
  <si>
    <t>2151-8378</t>
  </si>
  <si>
    <t>978-1-4963-4809-8</t>
  </si>
  <si>
    <t>http://ovidsp.ovid.com/rss/journals/00003677/pap.rss</t>
  </si>
  <si>
    <t>http://ovidsp.ovid.com/rss/journals/00019052/pap.rss</t>
  </si>
  <si>
    <t>1-9751-0558-3</t>
  </si>
  <si>
    <t>http://ovidsp.ovid.com/rss/journals/00004623/pap.rss</t>
  </si>
  <si>
    <t>Preoperative Assessment and Management</t>
  </si>
  <si>
    <t>Operative Techniques in Surgery</t>
  </si>
  <si>
    <t>1-9751-1304-7</t>
  </si>
  <si>
    <t>Journal of Cardiovascular Pharmacology</t>
  </si>
  <si>
    <t>http://ovidsp.ovid.com/rss/journals/00145756/current.rss</t>
  </si>
  <si>
    <t>Current Opinion in Rheumatology</t>
  </si>
  <si>
    <t>December 2014 - September 2020</t>
  </si>
  <si>
    <t>1550-5138</t>
  </si>
  <si>
    <t>November 30, 2020</t>
  </si>
  <si>
    <t>http://ovidsp.ovid.com/rss/journals/00006254/current.rss</t>
  </si>
  <si>
    <t>Retina</t>
  </si>
  <si>
    <t>Collaborate® for Professional Case Management: A Universal Competency-Based Paradigm</t>
  </si>
  <si>
    <t>1068-0640</t>
  </si>
  <si>
    <t>2373-8731</t>
  </si>
  <si>
    <t>Search Books@Ovid</t>
  </si>
  <si>
    <t>0028-3878</t>
  </si>
  <si>
    <t>1-4511-8875-7</t>
  </si>
  <si>
    <t>December 15, 2014 - September 30, 2020</t>
  </si>
  <si>
    <t>1533-712X</t>
  </si>
  <si>
    <t>978-1-6054-7681-0</t>
  </si>
  <si>
    <t>1534-7796</t>
  </si>
  <si>
    <t>JBJS Reviews</t>
  </si>
  <si>
    <t>http://ovidsp.ovid.com/rss/journals/00001703/pap.rss</t>
  </si>
  <si>
    <t>0893-0341</t>
  </si>
  <si>
    <t>Heptinstall's Pathology of the Kidney</t>
  </si>
  <si>
    <t>2nd_Edition</t>
  </si>
  <si>
    <t>1-4963-8654-X</t>
  </si>
  <si>
    <t>Clinical Spine Surgery</t>
  </si>
  <si>
    <t>http://ovidsp.ovid.com/rss/journals/00000421/pap.rss</t>
  </si>
  <si>
    <t>Cornea</t>
  </si>
  <si>
    <t>Master Techniques in Otolaryngology: Heade and Neck Surgery - Otology, Neurotology, and Lateral Skull Base Surgery</t>
  </si>
  <si>
    <t>978-1-4698-8984-9</t>
  </si>
  <si>
    <t>http://ovidsp.ovid.com/rss/journals/00001199/current.rss</t>
  </si>
  <si>
    <t>0744-6314</t>
  </si>
  <si>
    <t>AJSP: Reviews and Reports</t>
  </si>
  <si>
    <t>978-1-4963-4962-0</t>
  </si>
  <si>
    <t>1531-6572</t>
  </si>
  <si>
    <t>Operative Standards for Cancer Surgery: Volume 2 - Esophagus, Melanoma, Rectum, Stomach, Thyroid</t>
  </si>
  <si>
    <t>978-1-4963-9894-9</t>
  </si>
  <si>
    <t>1079-5642</t>
  </si>
  <si>
    <t>978-1-4963-8033-3</t>
  </si>
  <si>
    <t>http://ovidsp.ovid.com/rss/journals/00130911/current.rss</t>
  </si>
  <si>
    <t>JBJS Essential Surgical Techniques</t>
  </si>
  <si>
    <t>1528-9117</t>
  </si>
  <si>
    <t>Electrophysiology of Arrhythmias: Practical Images for Diagnosis and Ablation</t>
  </si>
  <si>
    <t>European Journal of Emergency Medicine</t>
  </si>
  <si>
    <t>Neurosurgery Quarterly</t>
  </si>
  <si>
    <t>October-December 2020</t>
  </si>
  <si>
    <t>1932-7501</t>
  </si>
  <si>
    <t>1531-5754</t>
  </si>
  <si>
    <t>http://ovidsp.ovid.com/rss/journals/00002030/pap.rss</t>
  </si>
  <si>
    <t>http://ovidsp.ovid.com/rss/journals/00005082/current.rss</t>
  </si>
  <si>
    <t>978-1-4963-9823-9</t>
  </si>
  <si>
    <t>1536-5964</t>
  </si>
  <si>
    <t>Ultrasound Quarterly</t>
  </si>
  <si>
    <t>978-1-4511-8691-8</t>
  </si>
  <si>
    <t>Current Opinion in Allergy &amp; Clinical Immunology</t>
  </si>
  <si>
    <t>http://ovidsp.ovid.com/rss/journals/00007670/pap.rss</t>
  </si>
  <si>
    <t>1538-3008</t>
  </si>
  <si>
    <t>Search Your Journals@Ovid</t>
  </si>
  <si>
    <t>October/December 2020</t>
  </si>
  <si>
    <t>http://ovidsp.ovid.com/rss/journals/00004397/current.rss</t>
  </si>
  <si>
    <t>1-4963-2264-9</t>
  </si>
  <si>
    <t>1-4511-9187-1</t>
  </si>
  <si>
    <t>February 2015</t>
  </si>
  <si>
    <t>Washington Manual of Critical Care, The</t>
  </si>
  <si>
    <t>http://ovidsp.ovid.com/rss/journals/00001504/pap.rss</t>
  </si>
  <si>
    <t>http://ovidsp.ovid.com/rss/journals/00041444/pap.rss</t>
  </si>
  <si>
    <t>Eye Pathology: An Atlas and Text</t>
  </si>
  <si>
    <t>http://ovidsp.ovid.com/rss/journals/00004424/current.rss</t>
  </si>
  <si>
    <t>0020-8167</t>
  </si>
  <si>
    <t>1531-698X</t>
  </si>
  <si>
    <t>July 2016</t>
  </si>
  <si>
    <t>http://ovidsp.ovid.com/rss/journals/00004268/current.rss</t>
  </si>
  <si>
    <t>http://ovidsp.ovid.com/rss/journals/00004010/current.rss</t>
  </si>
  <si>
    <t>1948-8270</t>
  </si>
  <si>
    <t>1550-5030</t>
  </si>
  <si>
    <t>Avoiding Common Errors in the Emergency Department</t>
  </si>
  <si>
    <t>May 19, 2017</t>
  </si>
  <si>
    <t>Current Opinion in Cardiology</t>
  </si>
  <si>
    <t>1072-4109</t>
  </si>
  <si>
    <t>Techniques in Shoulder &amp; Elbow Surgery</t>
  </si>
  <si>
    <t>1-4511-3218-2</t>
  </si>
  <si>
    <t>Handbook of Nutrition and the Kidney</t>
  </si>
  <si>
    <t>Wills Eye Manual, The: Office and Emergency Room Diagnosis and Treatment of Eye Disease</t>
  </si>
  <si>
    <t>http://ovidsp.ovid.com/rss/journals/01979360/current.rss</t>
  </si>
  <si>
    <t>1-4511-8368-2</t>
  </si>
  <si>
    <t>PAP RSS Feed URL</t>
  </si>
  <si>
    <t>January 2, 2015 - November 01, 2020</t>
  </si>
  <si>
    <t>2380-0216</t>
  </si>
  <si>
    <t>11th_Edition</t>
  </si>
  <si>
    <t>http://ovidsp.ovid.com/rss/journals/00013611/pap.rss</t>
  </si>
  <si>
    <t>1538-2931</t>
  </si>
  <si>
    <t>Textbook of Pediatric Emergency Procedures</t>
  </si>
  <si>
    <t>Current Opinion in Pediatrics</t>
  </si>
  <si>
    <t>1550-5057</t>
  </si>
  <si>
    <t>0882-7524</t>
  </si>
  <si>
    <t>1-9751-0744-6</t>
  </si>
  <si>
    <t>1-4963-4002-7</t>
  </si>
  <si>
    <t>http://ovidsp.ovid.com/rss/journals/00132577/current.rss</t>
  </si>
  <si>
    <t>http://ovidsp.ovid.com/rss/journals/00055735/pap.rss</t>
  </si>
  <si>
    <t>1-4963-2134-0</t>
  </si>
  <si>
    <t>December 2014</t>
  </si>
  <si>
    <t>Postgraduate Obstetrics &amp; Gynecology</t>
  </si>
  <si>
    <t>http://ovidsp.ovid.com/rss/journals/00130989/current.rss</t>
  </si>
  <si>
    <t>Lippincott Visual Nursing: A Guide to Diseases, Skills, and Treatments</t>
  </si>
  <si>
    <t>1-4963-2851-5</t>
  </si>
  <si>
    <t>0894-9115</t>
  </si>
  <si>
    <t>Home Healthcare Now</t>
  </si>
  <si>
    <t>1-4511-5149-7</t>
  </si>
  <si>
    <t>Lippincott Williams &amp; Wilkins, Inc.</t>
  </si>
  <si>
    <t>978-1-4511-9430-2</t>
  </si>
  <si>
    <t>1-4511-4411-3</t>
  </si>
  <si>
    <t>http://ovidsp.ovid.com/rss/journals/00132588/current.rss</t>
  </si>
  <si>
    <t>1-4963-8347-8</t>
  </si>
  <si>
    <t>DeLisa's Physical Medicine and Rehabilitation: Principles and Practice</t>
  </si>
  <si>
    <t>2014 - May 19, 2017</t>
  </si>
  <si>
    <t>978-1-4511-9522-4</t>
  </si>
  <si>
    <t>http://ovidsp.ovid.com/rss/journals/00042737/current.rss</t>
  </si>
  <si>
    <t>http://ovidsp.ovid.com/rss/journals/00126334/current.rss</t>
  </si>
  <si>
    <t>1528-1159</t>
  </si>
  <si>
    <t>July 2020</t>
  </si>
  <si>
    <t>January/February 2005 - November/December 2009</t>
  </si>
  <si>
    <t>1536-3686</t>
  </si>
  <si>
    <t>November/December 2020</t>
  </si>
  <si>
    <t>1070-5295</t>
  </si>
  <si>
    <t>Lippincott's Bone and Joint Newsletter</t>
  </si>
  <si>
    <t>Winston &amp; Kuhn's Herbal Therapy and Supplements: A Scientific and Traditional Approach</t>
  </si>
  <si>
    <t>Critical Care Medicine</t>
  </si>
  <si>
    <t>978-1-4511-9342-8</t>
  </si>
  <si>
    <t>0193-1091</t>
  </si>
  <si>
    <t>2574-2167</t>
  </si>
  <si>
    <t>1550-3267</t>
  </si>
  <si>
    <t>978-0-7817-3946-7</t>
  </si>
  <si>
    <t>1473-5725</t>
  </si>
  <si>
    <t>978-1-4963-9653-2</t>
  </si>
  <si>
    <t>1473-5601</t>
  </si>
  <si>
    <t>Nursing</t>
  </si>
  <si>
    <t>Wintrobe's Atlas of Clinical Hematology</t>
  </si>
  <si>
    <t>1537-453X</t>
  </si>
  <si>
    <t>March 2017</t>
  </si>
  <si>
    <t>978-1-4963-7712-8</t>
  </si>
  <si>
    <t>http://ovidsp.ovid.com/rss/journals/00001721/pap.rss</t>
  </si>
  <si>
    <t>1473-5598</t>
  </si>
  <si>
    <t>Alzheimer Disease &amp; Associated Disorders</t>
  </si>
  <si>
    <t>1533-4287</t>
  </si>
  <si>
    <t>Khonsari's Cardiac Surgery: Safeguards and Pitfalls in Operative Technique</t>
  </si>
  <si>
    <t>0029-6562</t>
  </si>
  <si>
    <t>10S</t>
  </si>
  <si>
    <t>1542-1929</t>
  </si>
  <si>
    <t>http://ovidsp.ovid.com/rss/journals/00005082/pap.rss</t>
  </si>
  <si>
    <t>http://ovidsp.ovid.com/rss/journals/00041444/current.rss</t>
  </si>
  <si>
    <t>1-4963-7496-7</t>
  </si>
  <si>
    <t>1-4698-7328-1</t>
  </si>
  <si>
    <t>978-1-9751-2949-1</t>
  </si>
  <si>
    <t>Journal of Public Health Management &amp; Practice</t>
  </si>
  <si>
    <t>December 2012</t>
  </si>
  <si>
    <t>0276-2234</t>
  </si>
  <si>
    <t>October 2004</t>
  </si>
  <si>
    <t>1536-0636</t>
  </si>
  <si>
    <t>978-1-4963-5585-0</t>
  </si>
  <si>
    <t>http://ovidsp.ovid.com/rss/journals/00000478/current.rss</t>
  </si>
  <si>
    <t>0-7817-9752-7</t>
  </si>
  <si>
    <t>http://ovidsp.ovid.com/rss/journals/00001574/current.rss</t>
  </si>
  <si>
    <t>October 15, 2020</t>
  </si>
  <si>
    <t>Psychiatric Genetics</t>
  </si>
  <si>
    <t>http://ovidsp.ovid.com/rss/journals/00008469/current.rss</t>
  </si>
  <si>
    <t>1538-8670</t>
  </si>
  <si>
    <t>1751-4266</t>
  </si>
  <si>
    <t>978-1-4963-4002-3</t>
  </si>
  <si>
    <t>0029-7844</t>
  </si>
  <si>
    <t>Book Title</t>
  </si>
  <si>
    <t>http://ovidsp.ovid.com/rss/journals/00006396/current.rss</t>
  </si>
  <si>
    <t>Atlas of Clinical Emergency Medicine</t>
  </si>
  <si>
    <t>http://ovidsp.ovid.com/rss/journals/00006565/current.rss</t>
  </si>
  <si>
    <t>Primary Care Medicine: Office Evaluation and Management of the Adult Patient</t>
  </si>
  <si>
    <t>MCN, American Journal of Maternal Child Nursing</t>
  </si>
  <si>
    <t>Diseases of the Colon &amp; Rectum</t>
  </si>
  <si>
    <t>http://ovidsp.ovid.com/rss/journals/01586154/current.rss</t>
  </si>
  <si>
    <t>978-1-4511-9519-4</t>
  </si>
  <si>
    <t>2214-1677</t>
  </si>
  <si>
    <t>Diagnostic Pathology and Molecular Genetics of the Thyroid: A Comprehensive Guide for Practicing Thyroid Pathology</t>
  </si>
  <si>
    <t>1-4511-9008-5</t>
  </si>
  <si>
    <t>http://ovidsp.ovid.com/rss/journals/01720097/pap.rss</t>
  </si>
  <si>
    <t>1532-0979</t>
  </si>
  <si>
    <t>December 31, 2015</t>
  </si>
  <si>
    <t>Clinical Journal of Pain</t>
  </si>
  <si>
    <t>http://ovidsp.ovid.com/rss/journals/01436319/pap.rss</t>
  </si>
  <si>
    <t>978-1-4511-9163-9</t>
  </si>
  <si>
    <t>American Journal of Gastroenterology</t>
  </si>
  <si>
    <t>October 2016 - October-December 2020</t>
  </si>
  <si>
    <t>0022-3018</t>
  </si>
  <si>
    <t>978-1-4511-8472-3</t>
  </si>
  <si>
    <t>Only EKG Book You'll Ever Need, The</t>
  </si>
  <si>
    <t>1080-9775</t>
  </si>
  <si>
    <t>1-4511-9361-0</t>
  </si>
  <si>
    <t>1-4963-0291-5</t>
  </si>
  <si>
    <t>November 2016</t>
  </si>
  <si>
    <t>1558-450X</t>
  </si>
  <si>
    <t>Neinstein's Adolescent and Young Adult Health Care: A Practical Guide</t>
  </si>
  <si>
    <t>1533-4031</t>
  </si>
  <si>
    <t>January-March 2015 - July-September 2020</t>
  </si>
  <si>
    <t>1-4963-2514-1</t>
  </si>
  <si>
    <t>1536-3678</t>
  </si>
  <si>
    <t>1-4511-8543-X</t>
  </si>
  <si>
    <t>January 16, 2015</t>
  </si>
  <si>
    <t>978-1-4511-8368-9</t>
  </si>
  <si>
    <t>Neurology</t>
  </si>
  <si>
    <t>0955-8829</t>
  </si>
  <si>
    <t>Annals of Plastic Surgery</t>
  </si>
  <si>
    <t>1040-8703</t>
  </si>
  <si>
    <t>http://ovidsp.ovid.com/rss/journals/01586154/pap.rss</t>
  </si>
  <si>
    <t>978-1-4511-8871-4</t>
  </si>
  <si>
    <t>http://ovidsp.ovid.com/rss/journals/01436970/current.rss</t>
  </si>
  <si>
    <t>2163-0755</t>
  </si>
  <si>
    <t>978-1-4963-2808-3</t>
  </si>
  <si>
    <t>http://ovidsp.ovid.com/rss/journals/00002826/current.rss</t>
  </si>
  <si>
    <t>Current Opinion in Supportive &amp; Palliative Care</t>
  </si>
  <si>
    <t>http://ovidsp.ovid.com/rss/journals/00005131/pap.rss</t>
  </si>
  <si>
    <t>March 2015</t>
  </si>
  <si>
    <t>1-4511-9475-7</t>
  </si>
  <si>
    <t>July-September 2020</t>
  </si>
  <si>
    <t>978-1-4511-7555-4</t>
  </si>
  <si>
    <t>978-1-4963-8651-9</t>
  </si>
  <si>
    <t>Journal of Clinical Neuromuscular Disease</t>
  </si>
  <si>
    <t>1-9751-3641-1</t>
  </si>
  <si>
    <t>http://ovidsp.ovid.com/rss/journals/00000446/current.rss</t>
  </si>
  <si>
    <t>http://ovidsp.ovid.com/rss/journals/01845228/current.rss</t>
  </si>
  <si>
    <t>http://ovidsp.ovid.com/rss/journals/00007632/current.rss</t>
  </si>
  <si>
    <t>Beginning Issue</t>
  </si>
  <si>
    <t>Histology for Pathologists</t>
  </si>
  <si>
    <t>978-1-4963-3541-8</t>
  </si>
  <si>
    <t>1746-6318</t>
  </si>
  <si>
    <t>1-4963-9653-7</t>
  </si>
  <si>
    <t>http://ovidsp.ovid.com/rss/journals/00000478/pap.rss</t>
  </si>
  <si>
    <t>Trauma Manual, The: Trauma and Acute Care Surgery</t>
  </si>
  <si>
    <t>1548-4688</t>
  </si>
  <si>
    <t>1550-5022</t>
  </si>
  <si>
    <t>Pathology Case Reviews</t>
  </si>
  <si>
    <t>978-1-4511-8631-4</t>
  </si>
  <si>
    <t>2014</t>
  </si>
  <si>
    <t>1-4963-5400-1</t>
  </si>
  <si>
    <t>Clinical Journal of Sport Medicine</t>
  </si>
  <si>
    <t>1537-1921</t>
  </si>
  <si>
    <t>http://ovidsp.ovid.com/rss/journals/00043605/pap.rss</t>
  </si>
  <si>
    <t>http://ovidsp.ovid.com/rss/journals/00003453/pap.rss</t>
  </si>
  <si>
    <t>5-Minute Clinical Consult 2020, The</t>
  </si>
  <si>
    <t>978-1-4511-7662-9</t>
  </si>
  <si>
    <t>1-4963-6685-9</t>
  </si>
  <si>
    <t>978-1-4963-2851-9</t>
  </si>
  <si>
    <t>January/February 2007 - November 30, 2015</t>
  </si>
  <si>
    <t>1473-5849</t>
  </si>
  <si>
    <t>Handbook of Clinical Audiology</t>
  </si>
  <si>
    <t>1522-0443</t>
  </si>
  <si>
    <t>1539-736X</t>
  </si>
  <si>
    <t>1531-6963</t>
  </si>
  <si>
    <t>http://ovidsp.ovid.com/rss/journals/00126097/current.rss</t>
  </si>
  <si>
    <t>Washington Manual®, The: Endocrinology  Subspecialty Consult</t>
  </si>
  <si>
    <t>1536-0652</t>
  </si>
  <si>
    <t>Journal of ECT</t>
  </si>
  <si>
    <t>978-1-4511-9361-9</t>
  </si>
  <si>
    <t>1-4963-6842-8</t>
  </si>
  <si>
    <t>978-1-9751-1342-1</t>
  </si>
  <si>
    <t>American Journal of Surgical Pathology</t>
  </si>
  <si>
    <t>Topics in Language Disorders</t>
  </si>
  <si>
    <t>978-1-4511-0047-1</t>
  </si>
  <si>
    <t>0894-8771</t>
  </si>
  <si>
    <t>978-1-4698-8997-9</t>
  </si>
  <si>
    <t>0745-7472</t>
  </si>
  <si>
    <t>0959-4973</t>
  </si>
  <si>
    <t>1-9751-3633-0</t>
  </si>
  <si>
    <t>http://ovidsp.ovid.com/rss/journals/00006199/current.rss</t>
  </si>
  <si>
    <t>978-1-4511-9475-3</t>
  </si>
  <si>
    <t>http://ovidsp.ovid.com/rss/journals/00006216/current.rss</t>
  </si>
  <si>
    <t>0090-3493</t>
  </si>
  <si>
    <t>February 2016 - October 2020</t>
  </si>
  <si>
    <t>http://ovidsp.ovid.com/rss/journals/00006205/current.rss</t>
  </si>
  <si>
    <t>http://ovidsp.ovid.com/rss/journals/00000658/current.rss</t>
  </si>
  <si>
    <t>Journal of the American Academy of Orthopaedic Surgeons</t>
  </si>
  <si>
    <t>1056-9103</t>
  </si>
  <si>
    <t>March 2017 - October 2020</t>
  </si>
  <si>
    <t>http://ovidsp.ovid.com/rss/journals/00007890/current.rss</t>
  </si>
  <si>
    <t>1538-4683</t>
  </si>
  <si>
    <t>0885-9698</t>
  </si>
  <si>
    <t>April 2015</t>
  </si>
  <si>
    <t>978-1-4511-9187-5</t>
  </si>
  <si>
    <t>1550-5154</t>
  </si>
  <si>
    <t>Health Care Manager</t>
  </si>
  <si>
    <t>978-1-4963-4742-8</t>
  </si>
  <si>
    <t>http://ovidsp.ovid.com/rss/journals/00041433/pap.rss</t>
  </si>
  <si>
    <t>978-1-4698-7328-2</t>
  </si>
  <si>
    <t>978-1-4511-9213-1</t>
  </si>
  <si>
    <t>1537-4513</t>
  </si>
  <si>
    <t>November 1, 2020</t>
  </si>
  <si>
    <t>Applied Immunohistochemistry &amp; Molecular Morphology</t>
  </si>
  <si>
    <t>Cleveland Clinic Illustrated Tips and Tricks in Colon and Rectal Surgery</t>
  </si>
  <si>
    <t>Visual Development, Diagnosis, and Treatment of the Pediatric Patient</t>
  </si>
  <si>
    <t>http://ovidsp.ovid.com/rss/journals/00000542/current.rss</t>
  </si>
  <si>
    <t>3rd_Edition</t>
  </si>
  <si>
    <t>978-1-4963-6778-5</t>
  </si>
  <si>
    <t>1530-0358</t>
  </si>
  <si>
    <t>Journal of Nursing Care Quality</t>
  </si>
  <si>
    <t>0362-5664</t>
  </si>
  <si>
    <t>Current Opinion in Pulmonary Medicine</t>
  </si>
  <si>
    <t>Essential Physics of Medical Imaging, The</t>
  </si>
  <si>
    <t>1746-630X</t>
  </si>
  <si>
    <t>September/October 2020</t>
  </si>
  <si>
    <t>1473-6551</t>
  </si>
  <si>
    <t>1549-8417</t>
  </si>
  <si>
    <t>978-1-4511-9007-6</t>
  </si>
  <si>
    <t>Techniques in Hand &amp; Upper Extremity Surgery</t>
  </si>
  <si>
    <t>http://ovidsp.ovid.com/rss/journals/00130561/current.rss</t>
  </si>
  <si>
    <t>March 2015 - November 2020</t>
  </si>
  <si>
    <t>http://ovidsp.ovid.com/rss/journals/00076734/current.rss</t>
  </si>
  <si>
    <t>http://ovidsp.ovid.com/rss/journals/00003727/pap.rss</t>
  </si>
  <si>
    <t>http://ovidsp.ovid.com/rss/journals/01938899/current.rss</t>
  </si>
  <si>
    <t>Operative Techniques in Plastic Surgery</t>
  </si>
  <si>
    <t>http://ovidsp.ovid.com/rss/journals/00013611/current.rss</t>
  </si>
  <si>
    <t>International Clinical Psychopharmacology</t>
  </si>
  <si>
    <t>1-4963-8178-5</t>
  </si>
  <si>
    <t>978-1-4963-2264-7</t>
  </si>
  <si>
    <t>0148-5717</t>
  </si>
  <si>
    <t>http://ovidsp.ovid.com/rss/journals/01436319/current.rss</t>
  </si>
  <si>
    <t>978-1-4963-0608-1</t>
  </si>
  <si>
    <t>Wintrobe's Clinical Hematology</t>
  </si>
  <si>
    <t>Danforth's Obstetrics and Gynecology</t>
  </si>
  <si>
    <t>0196-0202</t>
  </si>
  <si>
    <t>0730-4625</t>
  </si>
  <si>
    <t>1523-9896</t>
  </si>
  <si>
    <t>1-9751-2949-0</t>
  </si>
  <si>
    <t>1-4963-8176-9</t>
  </si>
  <si>
    <t>Handbook of Kidney Transplantation</t>
  </si>
  <si>
    <t>1-4511-9373-4</t>
  </si>
  <si>
    <t>16_Suppl_2</t>
  </si>
  <si>
    <t>978-1-4963-0291-5</t>
  </si>
  <si>
    <t>1050-6438</t>
  </si>
  <si>
    <t>1473-6578</t>
  </si>
  <si>
    <t>978-1-4963-8448-5</t>
  </si>
  <si>
    <t>http://ovidsp.ovid.com/rss/journals/00075197/pap.rss</t>
  </si>
  <si>
    <t>January/February 2015 - November/December 2015</t>
  </si>
  <si>
    <t>January/March 2015 - October/December 2020</t>
  </si>
  <si>
    <t>1-4963-8679-5</t>
  </si>
  <si>
    <t>January 15, 2016 - November 30, 2020</t>
  </si>
  <si>
    <t>1350-7540</t>
  </si>
  <si>
    <t>1539-0721</t>
  </si>
  <si>
    <t>Nurse Educator</t>
  </si>
  <si>
    <t>978-1-4963-7514-8</t>
  </si>
  <si>
    <t>0893-2190</t>
  </si>
  <si>
    <t>978-1-4963-6738-9</t>
  </si>
  <si>
    <t>1542-1937</t>
  </si>
  <si>
    <t>Avoiding Common Anesthesia Errors</t>
  </si>
  <si>
    <t>1082-9784</t>
  </si>
  <si>
    <t>1550-2430</t>
  </si>
  <si>
    <t>1532-3145</t>
  </si>
  <si>
    <t>0009-7330</t>
  </si>
  <si>
    <t>American Journal of Forensic Medicine &amp; Pathology</t>
  </si>
  <si>
    <t>http://ovidsp.ovid.com/rss/journals/00002142/current.rss</t>
  </si>
  <si>
    <t>Harwood-Nuss' Clinical Practice of Emergency Medicine</t>
  </si>
  <si>
    <t>Anesthesiologist's Manual of Surgical Procedures</t>
  </si>
  <si>
    <t>http://ovidsp.ovid.com/rss/journals/00011363/current.rss</t>
  </si>
  <si>
    <t>Current Opinion in Otolaryngology &amp; Head &amp; Neck Surgery</t>
  </si>
  <si>
    <t>1087-2418</t>
  </si>
  <si>
    <t>January 2, 2015</t>
  </si>
  <si>
    <t>Journal of Computer Assisted Tomography</t>
  </si>
  <si>
    <t>Journal of Glaucoma</t>
  </si>
  <si>
    <t>Infectious Diseases in Clinical Practice</t>
  </si>
  <si>
    <t>January 1, 2015</t>
  </si>
  <si>
    <t>0887-9311</t>
  </si>
  <si>
    <t>Nursing Made Incredibly Easy!</t>
  </si>
  <si>
    <t>http://ovidsp.ovid.com/rss/journals/00013542/pap.rss</t>
  </si>
  <si>
    <t>Annals of Surgery</t>
  </si>
  <si>
    <t>1-4511-9073-5</t>
  </si>
  <si>
    <t>1067-151X</t>
  </si>
  <si>
    <t>October 16, 2020</t>
  </si>
  <si>
    <t>http://ovidsp.ovid.com/rss/journals/00003643/pap.rss</t>
  </si>
  <si>
    <t>Clinical Handbook of Psychiatry &amp; the Law</t>
  </si>
  <si>
    <t>2163-0933</t>
  </si>
  <si>
    <t>Shields' General Thoracic Surgery</t>
  </si>
  <si>
    <t>978-1-4511-9395-4</t>
  </si>
  <si>
    <t>Fall 2020</t>
  </si>
  <si>
    <t>1050-642X</t>
  </si>
  <si>
    <t>1057-3631</t>
  </si>
  <si>
    <t>Adverse Drug Reaction Bulletin</t>
  </si>
  <si>
    <t>http://ovidsp.ovid.com/rss/journals/01300517/current.rss</t>
  </si>
  <si>
    <t>1-4511-9330-0</t>
  </si>
  <si>
    <t>Principles and Practice of Psychopharmacotherapy</t>
  </si>
  <si>
    <t>0148-7043</t>
  </si>
  <si>
    <t>0-7817-9750-0</t>
  </si>
  <si>
    <t>1-4963-4957-1</t>
  </si>
  <si>
    <t>http://ovidsp.ovid.com/rss/journals/00129334/pap.rss</t>
  </si>
  <si>
    <t>http://ovidsp.ovid.com/rss/journals/00004714/pap.rss</t>
  </si>
  <si>
    <t>1-4511-9458-7</t>
  </si>
  <si>
    <t>1536-4828</t>
  </si>
  <si>
    <t>http://ovidsp.ovid.com/rss/journals/00000637/pap.rss</t>
  </si>
  <si>
    <t>1-4963-7092-9</t>
  </si>
  <si>
    <t>0163-4356</t>
  </si>
  <si>
    <t>978-1-6054-7239-3</t>
  </si>
  <si>
    <t>http://ovidsp.ovid.com/rss/journals/00003226/current.rss</t>
  </si>
  <si>
    <t>2163-0402</t>
  </si>
  <si>
    <t>http://ovidsp.ovid.com/rss/journals/00008877/pap.rss</t>
  </si>
  <si>
    <t>BackLetter</t>
  </si>
  <si>
    <t>1064-8011</t>
  </si>
  <si>
    <t>0009-7322</t>
  </si>
  <si>
    <t>Flaps in Plastic and Reconstructive Surgery</t>
  </si>
  <si>
    <t>http://ovidsp.ovid.com/rss/journals/00075198/pap.rss</t>
  </si>
  <si>
    <t>Behavioural Pharmacology</t>
  </si>
  <si>
    <t>http://ovidsp.ovid.com/rss/journals/01586158/current.rss</t>
  </si>
  <si>
    <t>September 2020</t>
  </si>
  <si>
    <t>http://ovidsp.ovid.com/rss/journals/00024665/current.rss</t>
  </si>
  <si>
    <t>Rosen's Breast Pathology</t>
  </si>
  <si>
    <t>1062-4821</t>
  </si>
  <si>
    <t>978-1-4963-7998-6</t>
  </si>
  <si>
    <t>http://ovidsp.ovid.com/rss/journals/00005768/pap.rss</t>
  </si>
  <si>
    <t>1-4963-8534-9</t>
  </si>
  <si>
    <t>January 31, 2015 - November 15, 2020</t>
  </si>
  <si>
    <t>1550-5049</t>
  </si>
  <si>
    <t>1095-0680</t>
  </si>
  <si>
    <t>DeJong's The Neurologic Examination</t>
  </si>
  <si>
    <t>1-9751-0110-3</t>
  </si>
  <si>
    <t>January 2015 - November 2020</t>
  </si>
  <si>
    <t>http://ovidsp.ovid.com/rss/journals/00001813/pap.rss</t>
  </si>
  <si>
    <t>1932-8087</t>
  </si>
  <si>
    <t>1-4963-7266-2</t>
  </si>
  <si>
    <t>http://ovidsp.ovid.com/rss/journals/00006565/pap.rss</t>
  </si>
  <si>
    <t>978-1-4963-8176-7</t>
  </si>
  <si>
    <t>1068-9508</t>
  </si>
  <si>
    <t>October 2011</t>
  </si>
  <si>
    <t>JCR: Journal of Clinical Rheumatology</t>
  </si>
  <si>
    <t>January 6, 2015 - October 20, 2020</t>
  </si>
  <si>
    <t>Manual of Clinical Oncology</t>
  </si>
  <si>
    <t>1-4963-1827-7</t>
  </si>
  <si>
    <t>Marino's the ICU Book</t>
  </si>
  <si>
    <t>1527-7941</t>
  </si>
  <si>
    <t>Washington Manual of Medical Therapeutics, The</t>
  </si>
  <si>
    <t>2381-5949</t>
  </si>
  <si>
    <t>Latest Year Coverage</t>
  </si>
  <si>
    <t>1-4511-4625-6</t>
  </si>
  <si>
    <t>http://ovidsp.ovid.com/rss/journals/00002371/current.rss</t>
  </si>
  <si>
    <t>Exercise &amp; Sport Sciences Reviews</t>
  </si>
  <si>
    <t>http://ovidsp.ovid.com/rss/journals/00019501/pap.rss</t>
  </si>
  <si>
    <t>0890-5339</t>
  </si>
  <si>
    <t>http://ovidsp.ovid.com/rss/journals/00004010/pap.rss</t>
  </si>
  <si>
    <t>1473-5628</t>
  </si>
  <si>
    <t>978-1-4511-7601-8</t>
  </si>
  <si>
    <t>http://ovidsp.ovid.com/rss/journals/00002060/current.rss</t>
  </si>
  <si>
    <t>0883-5691</t>
  </si>
  <si>
    <t>eISSN</t>
  </si>
  <si>
    <t>1078-4659</t>
  </si>
  <si>
    <t>1-4963-9805-X</t>
  </si>
  <si>
    <t>http://ovidsp.ovid.com/rss/journals/00003453/current.rss</t>
  </si>
  <si>
    <t>1473-5733</t>
  </si>
  <si>
    <t>1531-6971</t>
  </si>
  <si>
    <t>1537-7385</t>
  </si>
  <si>
    <t>Female Pelvic Medicine &amp; Reconstructive Surgery</t>
  </si>
  <si>
    <t>978-1-4963-7125-6</t>
  </si>
  <si>
    <t>Operative Techniques in Lower Limb Reconstruction and Amputation</t>
  </si>
  <si>
    <t>1-9751-0728-4</t>
  </si>
  <si>
    <t>January 2021</t>
  </si>
  <si>
    <t>http://ovidsp.ovid.com/rss/journals/00000433/pap.rss</t>
  </si>
  <si>
    <t>Obstetrics &amp; Gynecology</t>
  </si>
  <si>
    <t>2474-7661</t>
  </si>
  <si>
    <t>http://ovidsp.ovid.com/rss/journals/00013644/pap.rss</t>
  </si>
  <si>
    <t>http://ovidsp.ovid.com/rss/journals/00024665/pap.rss</t>
  </si>
  <si>
    <t>Pediatric Radiology: Practical Imaging Evaluation of Infants and Children</t>
  </si>
  <si>
    <t>http://ovidsp.ovid.com/rss/journals/00004424/pap.rss</t>
  </si>
  <si>
    <t>Clinical Pulmonary Medicine</t>
  </si>
  <si>
    <t>http://ovidsp.ovid.com/rss/journals/00130911/pap.rss</t>
  </si>
  <si>
    <t>Hearing Journal</t>
  </si>
  <si>
    <t>1872-6623</t>
  </si>
  <si>
    <t>Bridwell and DeWald's Textbook of Spinal Surgery</t>
  </si>
  <si>
    <t>978-1-4963-2207-4</t>
  </si>
  <si>
    <t>http://ovidsp.ovid.com/rss/journals/00005382/current.rss</t>
  </si>
  <si>
    <t>7th_Edition</t>
  </si>
  <si>
    <t>1-4963-7994-2</t>
  </si>
  <si>
    <t>http://ovidsp.ovid.com/rss/journals/00003086/current.rss</t>
  </si>
  <si>
    <t>0951-7375</t>
  </si>
  <si>
    <t>Pathophysiology of Heart Disease: A Collaborative Project of Medical Students and Faculty</t>
  </si>
  <si>
    <t>Anatomic Exposures in Vascular Surgery</t>
  </si>
  <si>
    <t>Master Techniques in Orthopaedic Surgery: Reconstructive Knee Surgery</t>
  </si>
  <si>
    <t>Washington Manual®, The: Hematology and Oncology Subspecialty Consult</t>
  </si>
  <si>
    <t>http://ovidsp.ovid.com/rss/journals/00003446/pap.rss</t>
  </si>
  <si>
    <t>Color Atlas &amp; Synopsis of Clinical Ophthalmology: Oculoplastics</t>
  </si>
  <si>
    <t>1-4511-8874-9</t>
  </si>
  <si>
    <t>0960-8931</t>
  </si>
  <si>
    <t>Edition</t>
  </si>
  <si>
    <t>978-1-9751-1434-3</t>
  </si>
  <si>
    <t>Contemporary Diagnostic Radiology</t>
  </si>
  <si>
    <t>978-1-6091-3602-4</t>
  </si>
  <si>
    <t>Surgical Laparoscopy, Endoscopy &amp; Percutaneous Techniques</t>
  </si>
  <si>
    <t>0342-5282</t>
  </si>
  <si>
    <t>http://ovidsp.ovid.com/rss/journals/01212983/current.rss</t>
  </si>
  <si>
    <t>10C</t>
  </si>
  <si>
    <t>2376-7839</t>
  </si>
  <si>
    <t>978-1-4511-9373-2</t>
  </si>
  <si>
    <t>0277-3732</t>
  </si>
  <si>
    <t>Current Opinion in Lipidology</t>
  </si>
  <si>
    <t>Kaplan &amp; Sadock's Comprehensive Textbook of Psychiatry</t>
  </si>
  <si>
    <t>1-4511-9329-7</t>
  </si>
  <si>
    <t>Anatomical Chart Company: Atlas of Pathophysiology</t>
  </si>
  <si>
    <t>http://ovidsp.ovid.com/rss/journals/00152232/current.rss</t>
  </si>
  <si>
    <t>http://ovidsp.ovid.com/rss/journals/00005792/current.rss</t>
  </si>
  <si>
    <t>http://ovidsp.ovid.com/rss/journals/00001622/pap.rss</t>
  </si>
  <si>
    <t>0025-7079</t>
  </si>
  <si>
    <t>0885-9701</t>
  </si>
  <si>
    <t>Magnetic Resonance Imaging of the Brain and Spine</t>
  </si>
  <si>
    <t>1536-0229</t>
  </si>
  <si>
    <t>Hospital Epidemiology and Infection Control</t>
  </si>
  <si>
    <t>0267-1379</t>
  </si>
  <si>
    <t>978-0-7817-6580-0</t>
  </si>
  <si>
    <t>5-Minute Pediatric Consult, The</t>
  </si>
  <si>
    <t>Browse Books@Ovid</t>
  </si>
  <si>
    <t>Journal of Cataract &amp; Refractive Surgery Online Case Reports</t>
  </si>
  <si>
    <t>January 1995 - October 20, 2020</t>
  </si>
  <si>
    <t>978-1-4963-8644-1</t>
  </si>
  <si>
    <t>http://ovidsp.ovid.com/rss/journals/00005053/current.rss</t>
  </si>
  <si>
    <t>Current Orthopaedic Practice</t>
  </si>
  <si>
    <t>1-4963-5619-5</t>
  </si>
  <si>
    <t>March 2003</t>
  </si>
  <si>
    <t>0954-139X</t>
  </si>
  <si>
    <t>http://ovidsp.ovid.com/rss/journals/00006676/current.rss</t>
  </si>
  <si>
    <t>Khan's The Physics of Radiation Therapy</t>
  </si>
  <si>
    <t>http://ovidsp.ovid.com/rss/journals/00002727/current.rss</t>
  </si>
  <si>
    <t>0268-1315</t>
  </si>
  <si>
    <t>978-1-4511-9186-8</t>
  </si>
  <si>
    <t>Journal of Ambulatory Care Management</t>
  </si>
  <si>
    <t>1744-6880</t>
  </si>
  <si>
    <t>1538-1951</t>
  </si>
  <si>
    <t>1536-3724</t>
  </si>
  <si>
    <t>http://ovidsp.ovid.com/rss/journals/02054229/current.rss</t>
  </si>
  <si>
    <t>Journal of Cataract &amp; Refractive Surgery</t>
  </si>
  <si>
    <t>http://ovidsp.ovid.com/rss/journals/00132582/current.rss</t>
  </si>
  <si>
    <t>978-1-4963-2128-2</t>
  </si>
  <si>
    <t>Nursing Administration Quarterly</t>
  </si>
  <si>
    <t>1-4698-9001-1</t>
  </si>
  <si>
    <t>January 10, 2015</t>
  </si>
  <si>
    <t>978-1-4511-9336-7</t>
  </si>
  <si>
    <t>1744-6872</t>
  </si>
  <si>
    <t>1534-6080</t>
  </si>
  <si>
    <t>Fundamental Immunology</t>
  </si>
  <si>
    <t>1873-4502</t>
  </si>
  <si>
    <t>Hypertension</t>
  </si>
  <si>
    <t>The Journal of Bone and Joint Surgery, Inc.</t>
  </si>
  <si>
    <t>1555-9203</t>
  </si>
  <si>
    <t>1-4698-7320-6</t>
  </si>
  <si>
    <t>http://ovidsp.ovid.com/rss/journals/00012272/pap.rss</t>
  </si>
  <si>
    <t>February 2015 - September/October 2020</t>
  </si>
  <si>
    <t>http://ovidsp.ovid.com/rss/journals/01209203/pap.rss</t>
  </si>
  <si>
    <t>978-1-4963-5581-2</t>
  </si>
  <si>
    <t>0265-0215</t>
  </si>
  <si>
    <t>http://ovidsp.ovid.com/rss/journals/00006199/pap.rss</t>
  </si>
  <si>
    <t>http://ovidsp.ovid.com/rss/journals/00129689/current.rss</t>
  </si>
  <si>
    <t>0039-6206</t>
  </si>
  <si>
    <t>978-1-4963-8087-6</t>
  </si>
  <si>
    <t>http://ovidsp.ovid.com/rss/journals/00008480/current.rss</t>
  </si>
  <si>
    <t>0195-9131</t>
  </si>
  <si>
    <t>0-7817-6937-X</t>
  </si>
  <si>
    <t>1550-5111</t>
  </si>
  <si>
    <t>0143-3636</t>
  </si>
  <si>
    <t>December 15, 2017</t>
  </si>
  <si>
    <t>1524-4563</t>
  </si>
  <si>
    <t>Critical Care Nursing Quarterly</t>
  </si>
  <si>
    <t>1-4963-9463-1</t>
  </si>
  <si>
    <t>978-1-4963-0947-1</t>
  </si>
  <si>
    <t>Washington Manual of Echocardiography, The</t>
  </si>
  <si>
    <t>1544-5186</t>
  </si>
  <si>
    <t>978-1-4963-5815-8</t>
  </si>
  <si>
    <t>1-4511-8689-4</t>
  </si>
  <si>
    <t>Academic Medicine</t>
  </si>
  <si>
    <t>Beginning Date</t>
  </si>
  <si>
    <t>1550-5081</t>
  </si>
  <si>
    <t>Imaging in Rheumatology: A Clinical Approach</t>
  </si>
  <si>
    <t>http://ovidsp.ovid.com/rss/journals/00149078/current.rss</t>
  </si>
  <si>
    <t>Cancer Chemotherapy, Immunotherapy and Biotherapy: Principles and Practice</t>
  </si>
  <si>
    <t>0002-0443</t>
  </si>
  <si>
    <t>Surgical Exposures in Orthopaedics: The Anatomic Approach</t>
  </si>
  <si>
    <t>978-1-4511-7585-1</t>
  </si>
  <si>
    <t>Current Opinion in Hematology</t>
  </si>
  <si>
    <t>1473-6527</t>
  </si>
  <si>
    <t>1473-5857</t>
  </si>
  <si>
    <t>978-1-4511-8875-2</t>
  </si>
  <si>
    <t>http://ovidsp.ovid.com/rss/journals/00146965/pap.rss</t>
  </si>
  <si>
    <t>March 2001 - November 2016</t>
  </si>
  <si>
    <t>http://ovidsp.ovid.com/rss/journals/00061198/current.rss</t>
  </si>
  <si>
    <t>1528-1140</t>
  </si>
  <si>
    <t>http://ovidsp.ovid.com/rss/journals/01209203/current.rss</t>
  </si>
  <si>
    <t>December 2014 - October 2020</t>
  </si>
  <si>
    <t>Essentials of Skeletal Radiology</t>
  </si>
  <si>
    <t>1-4963-5815-5</t>
  </si>
  <si>
    <t>0025-7974</t>
  </si>
  <si>
    <t>0044-6394</t>
  </si>
  <si>
    <t>Journal of Clinical Gastroenterology</t>
  </si>
  <si>
    <t>1-4511-9250-9</t>
  </si>
  <si>
    <t>1-4963-9779-7</t>
  </si>
  <si>
    <t>October 2020</t>
  </si>
  <si>
    <t>1931-4485</t>
  </si>
  <si>
    <t>1-4963-2074-3</t>
  </si>
  <si>
    <t>http://ovidsp.ovid.com/rss/journals/00003677/current.rss</t>
  </si>
  <si>
    <t>978-1-4511-8369-6</t>
  </si>
  <si>
    <t>1527-4268</t>
  </si>
  <si>
    <t>0363-9568</t>
  </si>
  <si>
    <t>Dimensions of Critical Care Nursing</t>
  </si>
  <si>
    <t>978-1-4963-2074-2</t>
  </si>
  <si>
    <t>Bailey's Head and Neck Surgery: Otolaryngology</t>
  </si>
  <si>
    <t>0894-7376</t>
  </si>
  <si>
    <t>1-4963-2128-6</t>
  </si>
  <si>
    <t>1473-5571</t>
  </si>
  <si>
    <t>1535-2811</t>
  </si>
  <si>
    <t>AWHONN's Perinatal Nursing</t>
  </si>
  <si>
    <t>Neurology for the Non-Neurologist</t>
  </si>
  <si>
    <t>1530-4515</t>
  </si>
  <si>
    <t>Journal of Orthopaedic Trauma</t>
  </si>
  <si>
    <t>http://ovidsp.ovid.com/rss/journals/00061198/pap.rss</t>
  </si>
  <si>
    <t>January 2000</t>
  </si>
  <si>
    <t>1536-9943</t>
  </si>
  <si>
    <t>http://ovidsp.ovid.com/rss/journals/00024720/current.rss</t>
  </si>
  <si>
    <t>Anti-Cancer Drugs</t>
  </si>
  <si>
    <t>Cancer Nursing</t>
  </si>
  <si>
    <t>2472-7245</t>
  </si>
  <si>
    <t>978-1-6054-7614-8</t>
  </si>
  <si>
    <t>978-1-4963-7004-4</t>
  </si>
  <si>
    <t>978-1-4511-9329-9</t>
  </si>
  <si>
    <t>978-1-4963-8178-1</t>
  </si>
  <si>
    <t>1473-5709</t>
  </si>
  <si>
    <t>1-4511-9188-X</t>
  </si>
  <si>
    <t>1-4963-4903-2</t>
  </si>
  <si>
    <t>978-1-4963-8347-1</t>
  </si>
  <si>
    <t>0194-911X</t>
  </si>
  <si>
    <t>http://ovidsp.ovid.com/rss/journals/00126334/pap.rss</t>
  </si>
  <si>
    <t>978-1-4963-4921-7</t>
  </si>
  <si>
    <t>1531-7080</t>
  </si>
  <si>
    <t>1-4963-4921-0</t>
  </si>
  <si>
    <t>1541-2016</t>
  </si>
  <si>
    <t>1524-4636</t>
  </si>
  <si>
    <t>1550-5065</t>
  </si>
  <si>
    <t>November 01, 2020</t>
  </si>
  <si>
    <t>1543-3641</t>
  </si>
  <si>
    <t>http://ovidsp.ovid.com/rss/journals/00007890/pap.rss</t>
  </si>
  <si>
    <t>http://ovidsp.ovid.com/rss/journals/00006247/current.rss</t>
  </si>
  <si>
    <t>Techniques in Orthopaedics</t>
  </si>
  <si>
    <t>1-4511-1783-3</t>
  </si>
  <si>
    <t>JAAOS: Global Research and Reviews</t>
  </si>
  <si>
    <t>16th_Edition</t>
  </si>
  <si>
    <t>Journal of Clinical Engineering</t>
  </si>
  <si>
    <t>1533-0303</t>
  </si>
  <si>
    <t>American Journal of Clinical Oncology</t>
  </si>
  <si>
    <t>1933-3145</t>
  </si>
  <si>
    <t>http://ovidsp.ovid.com/rss/journals/00043605/current.rss</t>
  </si>
  <si>
    <t>978-1-9751-0744-4</t>
  </si>
  <si>
    <t>http://ovidsp.ovid.com/rss/journals/01929425/current.rss</t>
  </si>
  <si>
    <t>1-4511-9447-1</t>
  </si>
  <si>
    <t>1-4963-7998-5</t>
  </si>
  <si>
    <t>1060-152X</t>
  </si>
  <si>
    <t>http://ovidsp.ovid.com/rss/journals/00000434/pap.rss</t>
  </si>
  <si>
    <t>978-1-4963-3940-9</t>
  </si>
  <si>
    <t>Current Opinion in HIV &amp; AIDS</t>
  </si>
  <si>
    <t>Khan's Treatment Planning in Radiation Oncology</t>
  </si>
  <si>
    <t>Intraocular Tumors: An Atlas and Textbook</t>
  </si>
  <si>
    <t>Current Opinion in Anaesthesiology</t>
  </si>
  <si>
    <t>1-4963-4962-8</t>
  </si>
  <si>
    <t>Oncology Times</t>
  </si>
  <si>
    <t>978-1-4963-4903-3</t>
  </si>
  <si>
    <t>http://ovidsp.ovid.com/rss/journals/00007691/current.rss</t>
  </si>
  <si>
    <t>June 2014</t>
  </si>
  <si>
    <t>0954-6928</t>
  </si>
  <si>
    <t>Professional Guide to Signs &amp; Symptoms</t>
  </si>
  <si>
    <t>1-4963-8448-2</t>
  </si>
  <si>
    <t>AJN, American Journal of Nursing</t>
  </si>
  <si>
    <t>978-1-6083-1098-2</t>
  </si>
  <si>
    <t>http://ovidsp.ovid.com/rss/journals/01213011/current.rss</t>
  </si>
  <si>
    <t>1533-9866</t>
  </si>
  <si>
    <t>978-1-4963-9752-2</t>
  </si>
  <si>
    <t>Principles and Practice of Gynecologic Oncology</t>
  </si>
  <si>
    <t>http://ovidsp.ovid.com/rss/journals/01960901/current.rss</t>
  </si>
  <si>
    <t>January 1995</t>
  </si>
  <si>
    <t>978-1-4963-4957-6</t>
  </si>
  <si>
    <t>1-5825-5462-5</t>
  </si>
  <si>
    <t>0955-8810</t>
  </si>
  <si>
    <t>1533-029X</t>
  </si>
  <si>
    <t>JBJS Open Access</t>
  </si>
  <si>
    <t>http://ovidsp.ovid.com/rss/journals/00152258/current.rss</t>
  </si>
  <si>
    <t>http://ovidsp.ovid.com/rss/journals/00020840/current.rss</t>
  </si>
  <si>
    <t>Journal of Bone &amp; Joint Surgery, Inc.</t>
  </si>
  <si>
    <t>0271-8294</t>
  </si>
  <si>
    <t>978-1-4511-9008-3</t>
  </si>
  <si>
    <t>1531-7021</t>
  </si>
  <si>
    <t>October 27, 2020</t>
  </si>
  <si>
    <t>1-4511-8881-1</t>
  </si>
  <si>
    <t>AIDS</t>
  </si>
  <si>
    <t>1075-2765</t>
  </si>
  <si>
    <t>http://ovidsp.ovid.com/rss/journals/00006223/current.rss</t>
  </si>
  <si>
    <t>Journal of Nervous &amp; Mental Disease</t>
  </si>
  <si>
    <t>http://ovidsp.ovid.com/rss/journals/00013414/current.rss</t>
  </si>
  <si>
    <t>January 2015 - September 2020</t>
  </si>
  <si>
    <t>International Journal of Rehabilitation Research</t>
  </si>
  <si>
    <t>978-1-9751-1348-3</t>
  </si>
  <si>
    <t>0952-7907</t>
  </si>
  <si>
    <t>http://ovidsp.ovid.com/rss/journals/00006842/pap.rss</t>
  </si>
  <si>
    <t>0277-2116</t>
  </si>
  <si>
    <t>0003-3022</t>
  </si>
  <si>
    <t>1st_Edition</t>
  </si>
  <si>
    <t>Professional Case Management</t>
  </si>
  <si>
    <t>http://ovidsp.ovid.com/rss/journals/00130832/current.rss</t>
  </si>
  <si>
    <t>http://ovidsp.ovid.com/rss/journals/00146965/current.rss</t>
  </si>
  <si>
    <t>978-1-9751-1144-1</t>
  </si>
  <si>
    <t>http://ovidsp.ovid.com/rss/journals/01261775/current.rss</t>
  </si>
  <si>
    <t>Journal of Strength &amp; Conditioning Research</t>
  </si>
  <si>
    <t>0161-9268</t>
  </si>
  <si>
    <t>Current Opinion in Psychiatry</t>
  </si>
  <si>
    <t>Principles and Practice of Pediatric Oncology</t>
  </si>
  <si>
    <t>1040-8738</t>
  </si>
  <si>
    <t>978-1-4511-9447-0</t>
  </si>
  <si>
    <t>1-9751-0825-6</t>
  </si>
  <si>
    <t>978-1-4963-2148-0</t>
  </si>
  <si>
    <t>American Journal of Therapeutics</t>
  </si>
  <si>
    <t>http://ovidsp.ovid.com/rss/journals/01720096/pap.rss</t>
  </si>
  <si>
    <t>Nursing Research</t>
  </si>
  <si>
    <t>978-1-9751-0866-3</t>
  </si>
  <si>
    <t>1-4963-8616-7</t>
  </si>
  <si>
    <t>http://ovidsp.ovid.com/rss/journals/01273116/current.rss</t>
  </si>
  <si>
    <t>http://ovidsp.ovid.com/rss/journals/00001503/current.rss</t>
  </si>
  <si>
    <t>1535-1386</t>
  </si>
  <si>
    <t>1-4511-8691-6</t>
  </si>
  <si>
    <t>1550-3275</t>
  </si>
  <si>
    <t>http://ovidsp.ovid.com/rss/journals/00006216/pap.rss</t>
  </si>
  <si>
    <t>Psychosomatic Medicine</t>
  </si>
  <si>
    <t>Medicine &amp; Science in Sports &amp; Exercise</t>
  </si>
  <si>
    <t>1-4511-9430-7</t>
  </si>
  <si>
    <t>Beginning Year Coverage</t>
  </si>
  <si>
    <t>http://ovidsp.ovid.com/rss/journals/00042307/current.rss</t>
  </si>
  <si>
    <t>http://ovidsp.ovid.com/rss/journals/00132587/current.rss</t>
  </si>
  <si>
    <t>Transplantation</t>
  </si>
  <si>
    <t>978-1-4511-1422-5</t>
  </si>
  <si>
    <t>December 2015</t>
  </si>
  <si>
    <t>978-1-4511-9250-6</t>
  </si>
  <si>
    <t>http://ovidsp.ovid.com/rss/journals/00004872/pap.rss</t>
  </si>
  <si>
    <t>978-0-7817-6937-2</t>
  </si>
  <si>
    <t>http://ovidsp.ovid.com/rss/journals/00000637/current.rss</t>
  </si>
  <si>
    <t>978-1-4963-1883-1</t>
  </si>
  <si>
    <t>http://ovidsp.ovid.com/rss/journals/01075922/current.rss</t>
  </si>
  <si>
    <t>1-4511-8998-2</t>
  </si>
  <si>
    <t>0887-9303</t>
  </si>
  <si>
    <t>Pediatric Infectious Disease Journal</t>
  </si>
  <si>
    <t>1-4511-9275-4</t>
  </si>
  <si>
    <t>November 19, 2013</t>
  </si>
  <si>
    <t>Biopsy Interpretation of the Thyroid</t>
  </si>
  <si>
    <t>A&amp;A Practice</t>
  </si>
  <si>
    <t>1-4963-3541-4</t>
  </si>
  <si>
    <t>http://ovidsp.ovid.com/rss/journals/00045391/pap.rss</t>
  </si>
  <si>
    <t>http://ovidsp.ovid.com/rss/journals/00075197/current.rss</t>
  </si>
  <si>
    <t>1538-9774</t>
  </si>
  <si>
    <t>1-4963-7514-9</t>
  </si>
  <si>
    <t>Wolters Kluwer Health | Lippincott Williams &amp; Wilkins</t>
  </si>
  <si>
    <t>http://ovidsp.ovid.com/rss/journals/00003012/current.rss</t>
  </si>
  <si>
    <t>Strandness's Duplex Scanning in Vascular Disorders</t>
  </si>
  <si>
    <t>0162-220X</t>
  </si>
  <si>
    <t>Sexually Transmitted Diseases</t>
  </si>
  <si>
    <t>1-4511-1435-4</t>
  </si>
  <si>
    <t>Operative Techniques in Sports Medicine Surgery</t>
  </si>
  <si>
    <t>DeVita, Hellman, and Rosenberg's Cancer: Principles &amp; Practice of Oncology</t>
  </si>
  <si>
    <t>Health Care Management Review</t>
  </si>
  <si>
    <t>European Journal of Gastroenterology &amp; Hepatology</t>
  </si>
  <si>
    <t>978-1-4963-0260-1</t>
  </si>
  <si>
    <t>http://ovidsp.ovid.com/rss/journals/00131402/current.rss</t>
  </si>
  <si>
    <t>0012-3706</t>
  </si>
  <si>
    <t>1531-5487</t>
  </si>
  <si>
    <t>http://ovidsp.ovid.com/rss/journals/00004356/current.rss</t>
  </si>
  <si>
    <t>Hemostasis and Thrombosis: Basic Principles and Clinical Practice</t>
  </si>
  <si>
    <t>1531-703X</t>
  </si>
  <si>
    <t>November/December 2015</t>
  </si>
  <si>
    <t>http://ovidsp.ovid.com/rss/journals/01222929/current.rss</t>
  </si>
  <si>
    <t>1752-2978</t>
  </si>
  <si>
    <t>1040-8746</t>
  </si>
  <si>
    <t>1539-2031</t>
  </si>
  <si>
    <t>http://ovidsp.ovid.com/rss/journals/00003017/pap.rss</t>
  </si>
  <si>
    <t>1-6054-7239-5</t>
  </si>
  <si>
    <t>0029-7828</t>
  </si>
  <si>
    <t>1040-872X</t>
  </si>
  <si>
    <t>0271-6798</t>
  </si>
  <si>
    <t>1533-4023</t>
  </si>
  <si>
    <t>1054-0725</t>
  </si>
  <si>
    <t>March 2001</t>
  </si>
  <si>
    <t>978-1-6054-7565-3</t>
  </si>
  <si>
    <t>Brant and Helms' Fundamentals of Diagnostic Radiology</t>
  </si>
  <si>
    <t>978-1-9751-0110-7</t>
  </si>
  <si>
    <t>OfferedOn</t>
  </si>
  <si>
    <t>June 2015</t>
  </si>
  <si>
    <t>Contemporary Spine Surgery</t>
  </si>
  <si>
    <t>A&amp;A Case Reports</t>
  </si>
  <si>
    <t>Topics in Magnetic Resonance Imaging</t>
  </si>
  <si>
    <t>Stoelting's Pharmacology and Physiology in Anesthetic Practice</t>
  </si>
  <si>
    <t>2380-0186</t>
  </si>
  <si>
    <t>1536-593X</t>
  </si>
  <si>
    <t>Shnider and Levinson's Anesthesia for Obstetrics</t>
  </si>
  <si>
    <t>http://ovidsp.ovid.com/rss/journals/00006842/current.rss</t>
  </si>
  <si>
    <t>Journal of Trauma and Acute Care Surgery</t>
  </si>
  <si>
    <t>1062-8592</t>
  </si>
  <si>
    <t>January/February 2007</t>
  </si>
  <si>
    <t>978-1-4963-3950-8</t>
  </si>
  <si>
    <t>Washington Manual of Surgery, The</t>
  </si>
  <si>
    <t>978-1-4511-2740-9</t>
  </si>
  <si>
    <t>1536-0237</t>
  </si>
  <si>
    <t>0962-8827</t>
  </si>
  <si>
    <t>1531-7072</t>
  </si>
  <si>
    <t>978-1-4963-8648-9</t>
  </si>
  <si>
    <t>Feigenbaum's Echocardiography</t>
  </si>
  <si>
    <t>0020-9996</t>
  </si>
  <si>
    <t>Journal of Urology</t>
  </si>
  <si>
    <t>Let's Talk Vaccines: A Clinician's Guide to Addressing Vaccine Hesitancy and Saving Lives</t>
  </si>
  <si>
    <t>978-1-4963-2134-3</t>
  </si>
  <si>
    <t>0022-5347</t>
  </si>
  <si>
    <t>January 31, 2015</t>
  </si>
  <si>
    <t>1091-5397</t>
  </si>
  <si>
    <t>978-1-4963-7092-1</t>
  </si>
  <si>
    <t>1-6054-7550-5</t>
  </si>
  <si>
    <t>January/February 2016</t>
  </si>
  <si>
    <t>978-1-4963-8534-5</t>
  </si>
  <si>
    <t>978-1-4963-4286-7</t>
  </si>
  <si>
    <t>http://ovidsp.ovid.com/rss/journals/00005650/current.rss</t>
  </si>
  <si>
    <t>High-Resolution CT of the Lung</t>
  </si>
  <si>
    <t>Survey of Anesthesiology</t>
  </si>
  <si>
    <t>0898-4921</t>
  </si>
  <si>
    <t>http://ovidsp.ovid.com/rss/journals/00008390/pap.rss</t>
  </si>
  <si>
    <t>http://ovidsp.ovid.com/rss/journals/00000421/current.rss</t>
  </si>
  <si>
    <t>January 2013</t>
  </si>
  <si>
    <t>1538-1145</t>
  </si>
  <si>
    <t>1534-4908</t>
  </si>
  <si>
    <t>ACSM'S Health &amp; Fitness Journal</t>
  </si>
  <si>
    <t>0363-3624</t>
  </si>
  <si>
    <t>Anesthesiology</t>
  </si>
  <si>
    <t>978-1-9751-0825-0</t>
  </si>
  <si>
    <t>1536-0644</t>
  </si>
  <si>
    <t>1-6083-1098-1</t>
  </si>
  <si>
    <t>Decision Making in Emergency Critical Care: An Evidence-Based Handbook</t>
  </si>
  <si>
    <t>Current Opinion in Clinical Nutrition &amp; Metabolic Care</t>
  </si>
  <si>
    <t>1-4963-1883-8</t>
  </si>
  <si>
    <t>2325-7237</t>
  </si>
  <si>
    <t>Fischbach's A Manual of Laboratory and Diagnostic Tests</t>
  </si>
  <si>
    <t>0192-0790</t>
  </si>
  <si>
    <t>http://ovidsp.ovid.com/rss/journals/00007435/pap.rss</t>
  </si>
  <si>
    <t>1-4511-7674-0</t>
  </si>
  <si>
    <t>Circulation Research</t>
  </si>
  <si>
    <t>January 2005 - October 2011</t>
  </si>
  <si>
    <t>1-4963-7200-X</t>
  </si>
  <si>
    <t>Journal of Neurosurgical Anesthesiology</t>
  </si>
  <si>
    <t>October 20, 2020</t>
  </si>
  <si>
    <t>Washington Manual of Surgical Pathology, The</t>
  </si>
  <si>
    <t>Health Assessment Made Incredibly Visual!</t>
  </si>
  <si>
    <t>Rehabilitation of the Spine: A Patient-Centered Approach</t>
  </si>
  <si>
    <t>http://ovidsp.ovid.com/rss/journals/00012272/current.rss</t>
  </si>
  <si>
    <t>http://ovidsp.ovid.com/rss/journals/00041552/pap.rss</t>
  </si>
  <si>
    <t>1548-2545</t>
  </si>
  <si>
    <t>http://ovidsp.ovid.com/rss/journals/00007435/current.rss</t>
  </si>
  <si>
    <t>Washington Manual, The: Infectious Diseases Subspecialty Consult</t>
  </si>
  <si>
    <t>http://ovidsp.ovid.com/rss/journals/00001622/current.rss</t>
  </si>
  <si>
    <t>10th_Edition</t>
  </si>
  <si>
    <t>1-4511-8369-0</t>
  </si>
  <si>
    <t>Topics in Geriatric Rehabilitation</t>
  </si>
  <si>
    <t>JAIDS Journal of Acquired Immune Deficiency Syndromes</t>
  </si>
  <si>
    <t>http://ovidsp.ovid.com/rss/journals/01263393/current.rss</t>
  </si>
  <si>
    <t>http://ovidsp.ovid.com/rss/journals/00006534/current.rss</t>
  </si>
  <si>
    <t>1-4963-9973-0</t>
  </si>
  <si>
    <t>Current Opinion in Gastroenterology</t>
  </si>
  <si>
    <t>1524-4539</t>
  </si>
  <si>
    <t>1-4698-9718-0</t>
  </si>
  <si>
    <t>http://ovidsp.ovid.com/rss/journals/00005053/pap.rss</t>
  </si>
  <si>
    <t>January/March 2015 - July/September 2020</t>
  </si>
  <si>
    <t>http://ovidsp.ovid.com/rss/journals/00125480/current.rss</t>
  </si>
  <si>
    <t>http://ovidsp.ovid.com/rss/journals/02039743/current.rss</t>
  </si>
  <si>
    <t>1-4963-0260-5</t>
  </si>
  <si>
    <t>1536-7185</t>
  </si>
  <si>
    <t>Journal of Head Trauma Rehabilitation</t>
  </si>
  <si>
    <t>978-1-4963-6029-8</t>
  </si>
  <si>
    <t>978-0-7817-5386-9</t>
  </si>
  <si>
    <t>1-6091-3602-0</t>
  </si>
  <si>
    <t>OTA International</t>
  </si>
  <si>
    <t>978-1-4963-9779-9</t>
  </si>
  <si>
    <t>http://ovidsp.ovid.com/rss/journals/00132576/current.rss</t>
  </si>
  <si>
    <t>ISSN</t>
  </si>
  <si>
    <t>http://ovidsp.ovid.com/rss/journals/00001574/pap.rss</t>
  </si>
  <si>
    <t>http://ovidsp.ovid.com/rss/journals/01202412/current.rss</t>
  </si>
  <si>
    <t>http://ovidsp.ovid.com/rss/journals/00005344/pap.rss</t>
  </si>
  <si>
    <t>January/February 2015 - October 2020</t>
  </si>
  <si>
    <t>Kaplan &amp; Sadock's Synopsis of Psychiatry: Behavioral Sciences/Clinical Psychiatry</t>
  </si>
  <si>
    <t>January 10, 2015 - October 20, 2020</t>
  </si>
  <si>
    <t>http://ovidsp.ovid.com/rss/journals/00132583/current.rss</t>
  </si>
  <si>
    <t>0959-8278</t>
  </si>
  <si>
    <t>1-4963-8651-5</t>
  </si>
  <si>
    <t>1-4511-8882-X</t>
  </si>
  <si>
    <t>Journal of Bronchology &amp; Interventional Pulmonology</t>
  </si>
  <si>
    <t>5-Minute Sports Medicine Consult, The</t>
  </si>
  <si>
    <t>http://ovidsp.ovid.com/rss/journals/00124743/current.rss</t>
  </si>
  <si>
    <t>978-1-4511-9458-6</t>
  </si>
  <si>
    <t>http://ovidsp.ovid.com/rss/journals/00042752/pap.rss</t>
  </si>
  <si>
    <t>Wallach's Interpretation of Diagnostic Tests: Pathways to Arriving at a Clinical Diagnosis</t>
  </si>
  <si>
    <t>http://ovidsp.ovid.com/rss/journals/00001888/current.rss</t>
  </si>
  <si>
    <t>LPN</t>
  </si>
  <si>
    <t>http://ovidsp.ovid.com/rss/journals/01845097/current.rss</t>
  </si>
  <si>
    <t>1473-5660</t>
  </si>
  <si>
    <t>Quality Management in Health Care</t>
  </si>
  <si>
    <t>1-4511-1668-3</t>
  </si>
  <si>
    <t>November 2020</t>
  </si>
  <si>
    <t>1-4963-6763-4</t>
  </si>
  <si>
    <t>http://ovidsp.ovid.com/rss/journals/00001813/current.rss</t>
  </si>
  <si>
    <t>1-4963-0024-6</t>
  </si>
  <si>
    <t>1-9751-0904-X</t>
  </si>
  <si>
    <t>http://ovidsp.ovid.com/rss/journals/01269241/current.rss</t>
  </si>
  <si>
    <t>January 2005</t>
  </si>
  <si>
    <t>American Journal of Dermatopathology</t>
  </si>
  <si>
    <t>1-4511-7601-5</t>
  </si>
  <si>
    <t>http://ovidsp.ovid.com/rss/journals/01933606/current.rss</t>
  </si>
  <si>
    <t>Greenfield's Surgery: Scientific Principles and Practice</t>
  </si>
  <si>
    <t>http://ovidsp.ovid.com/rss/journals/01269241/pap.rss</t>
  </si>
  <si>
    <t>Ocular Therapeutics Handbook: A Clinical Manual</t>
  </si>
  <si>
    <t>Journal of Bone &amp; Joint Surgery - American Volume</t>
  </si>
  <si>
    <t>0969-9546</t>
  </si>
  <si>
    <t>http://ovidsp.ovid.com/rss/journals/00004650/current.rss</t>
  </si>
  <si>
    <t>http://ovidsp.ovid.com/rss/journals/00130404/current.rss</t>
  </si>
  <si>
    <t>http://ovidsp.ovid.com/rss/journals/00256406/current.rss</t>
  </si>
  <si>
    <t>2163-8357</t>
  </si>
  <si>
    <t>1536-3708</t>
  </si>
  <si>
    <t>http://ovidsp.ovid.com/rss/journals/01938936/current.rss</t>
  </si>
  <si>
    <t>0041-1337</t>
  </si>
  <si>
    <t>Operative Techniques in Foot and Ankle Surgery</t>
  </si>
  <si>
    <t>http://ovidsp.ovid.com/rss/journals/00004669/current.rss</t>
  </si>
  <si>
    <t>Operative Standards for Cancer Surgery: Volume 1 - Breast, Lung, Pancreas, Colon</t>
  </si>
  <si>
    <t>Quality and Safety in Medical Imaging: The Essentials</t>
  </si>
  <si>
    <t>1-4963-8644-2</t>
  </si>
  <si>
    <t>Pediatric Emergency Care</t>
  </si>
  <si>
    <t>Evidence-Based Cardiology</t>
  </si>
  <si>
    <t>Clinical Manual of Contact Lenses</t>
  </si>
  <si>
    <t>1-4511-9342-4</t>
  </si>
  <si>
    <t>978-1-9751-1084-0</t>
  </si>
  <si>
    <t>January 16, 2015 - November 2020</t>
  </si>
  <si>
    <t>978-1-4511-8881-3</t>
  </si>
  <si>
    <t>http://ovidsp.ovid.com/rss/journals/01263393/pap.rss</t>
  </si>
  <si>
    <t>January 1, 2015 - November 01, 2020</t>
  </si>
  <si>
    <t>0896-3746</t>
  </si>
  <si>
    <t>http://ovidsp.ovid.com/rss/journals/00005721/current.rss</t>
  </si>
  <si>
    <t>http://ovidsp.ovid.com/rss/journals/00004836/current.rss</t>
  </si>
  <si>
    <t>0951-7367</t>
  </si>
  <si>
    <t>0361-6274</t>
  </si>
  <si>
    <t>0194-3898</t>
  </si>
  <si>
    <t>January/February 2016 - September/October 2020</t>
  </si>
  <si>
    <t>1-4963-2207-X</t>
  </si>
  <si>
    <t>978-1-4963-4907-1</t>
  </si>
  <si>
    <t>1-4963-5581-4</t>
  </si>
  <si>
    <t>5th_Edition</t>
  </si>
  <si>
    <t>Marino's The Little ICU Book</t>
  </si>
  <si>
    <t>http://ovidsp.ovid.com/rss/journals/00013614/current.rss</t>
  </si>
  <si>
    <t>0163-2108</t>
  </si>
  <si>
    <t>1057-0829</t>
  </si>
  <si>
    <t>http://ovidsp.ovid.com/rss/journals/00006231/pap.rss</t>
  </si>
  <si>
    <t>http://ovidsp.ovid.com/rss/journals/00008506/pap.rss</t>
  </si>
  <si>
    <t>1-4963-7125-9</t>
  </si>
  <si>
    <t>1-4963-4286-0</t>
  </si>
  <si>
    <t>1944-7884</t>
  </si>
  <si>
    <t>1-4963-8648-5</t>
  </si>
  <si>
    <t>http://ovidsp.ovid.com/rss/journals/00002508/pap.rss</t>
  </si>
  <si>
    <t>978-1-9751-3633-8</t>
  </si>
  <si>
    <t>Plastic and Reconstructive Surgery - Global Open</t>
  </si>
  <si>
    <t>Walls Manual of Emergency Airway Management, The</t>
  </si>
  <si>
    <t>1074-7931</t>
  </si>
  <si>
    <t>http://ovidsp.ovid.com/rss/journals/00152193/pap.rss</t>
  </si>
  <si>
    <t>978-1-4963-7496-7</t>
  </si>
  <si>
    <t>978-1-4511-9188-2</t>
  </si>
  <si>
    <t>0361-1817</t>
  </si>
  <si>
    <t>http://ovidsp.ovid.com/rss/journals/01202412/pap.rss</t>
  </si>
  <si>
    <t>978-0-7817-3390-8</t>
  </si>
  <si>
    <t>5-6</t>
  </si>
  <si>
    <t>http://ovidsp.ovid.com/rss/journals/00006454/current.rss</t>
  </si>
  <si>
    <t>Journal of Pediatric Orthopaedics</t>
  </si>
  <si>
    <t/>
  </si>
  <si>
    <t>Advances in Anatomic Pathology</t>
  </si>
  <si>
    <t>978-1-4511-9330-5</t>
  </si>
  <si>
    <t>LGBTQ Cultures: What Health Care Professionals Need to Know About Sexual and Gender Diversity</t>
  </si>
  <si>
    <t>Walsh and Hoyt's Clinical Neuro-Ophthalmology: The Essentials</t>
  </si>
  <si>
    <t>8th_Edition</t>
  </si>
  <si>
    <t>http://ovidsp.ovid.com/rss/journals/00124278/current.rss</t>
  </si>
  <si>
    <t>1-4511-9007-7</t>
  </si>
  <si>
    <t>January/February 2005</t>
  </si>
  <si>
    <t>Nutrition Essentials for Nursing Practice</t>
  </si>
  <si>
    <t>1533-4058</t>
  </si>
  <si>
    <t>http://ovidsp.ovid.com/rss/journals/00005650/pap.rss</t>
  </si>
  <si>
    <t>1359-5237</t>
  </si>
  <si>
    <t>http://ovidsp.ovid.com/rss/journals/00001432/pap.rss</t>
  </si>
  <si>
    <t>http://ovidsp.ovid.com/rss/journals/00004728/current.rss</t>
  </si>
  <si>
    <t>1061-5377</t>
  </si>
  <si>
    <t>http://ovidsp.ovid.com/rss/journals/00124509/current.rss</t>
  </si>
  <si>
    <t>October/December 2017</t>
  </si>
  <si>
    <t>February 2015 - December 2020</t>
  </si>
  <si>
    <t>http://ovidsp.ovid.com/rss/journals/01273116/pap.rss</t>
  </si>
  <si>
    <t>September 2002 - December 2012</t>
  </si>
  <si>
    <t>1534-4916</t>
  </si>
  <si>
    <t>1-4511-9213-4</t>
  </si>
  <si>
    <t>http://ovidsp.ovid.com/rss/journals/00025572/current.rss</t>
  </si>
  <si>
    <t>Journal of Spinal Disorders &amp; Techniques</t>
  </si>
  <si>
    <t>978-1-4511-1435-5</t>
  </si>
  <si>
    <t>European Journal of Cancer Prevention</t>
  </si>
  <si>
    <t>Journal of Perinatal &amp; Neonatal Nursing</t>
  </si>
  <si>
    <t>Epidemiology</t>
  </si>
  <si>
    <t>978-1-4511-8543-0</t>
  </si>
  <si>
    <t>Master Techniques in Orthopaedic Surgery: Fractures</t>
  </si>
  <si>
    <t>Browse Your Journals@Ovid</t>
  </si>
  <si>
    <t>http://ovidsp.ovid.com/rss/journals/00132981/current.rss</t>
  </si>
  <si>
    <t>http://ovidsp.ovid.com/rss/journals/00006454/pap.rss</t>
  </si>
  <si>
    <t>October 21, 2020</t>
  </si>
  <si>
    <t>http://ovidsp.ovid.com/rss/journals/00013644/current.rss</t>
  </si>
  <si>
    <t>1530-0315</t>
  </si>
  <si>
    <t>1-4963-3940-1</t>
  </si>
  <si>
    <t>Bonica's Management of Pain</t>
  </si>
  <si>
    <t>MD Anderson Surgical Oncology Handbook, The</t>
  </si>
  <si>
    <t>http://ovidsp.ovid.com/rss/journals/00019052/current.rss</t>
  </si>
  <si>
    <t>978-1-4511-2118-6</t>
  </si>
  <si>
    <t>Infants &amp; Young Children</t>
  </si>
  <si>
    <t>1-4511-7555-8</t>
  </si>
  <si>
    <t>4th_Edition</t>
  </si>
  <si>
    <t>1-4511-1422-2</t>
  </si>
  <si>
    <t>http://ovidsp.ovid.com/rss/journals/00001199/pap.rss</t>
  </si>
  <si>
    <t>1524-9557</t>
  </si>
  <si>
    <t>http://ovidsp.ovid.com/rss/journals/00126450/current.rss</t>
  </si>
  <si>
    <t>0957-5235</t>
  </si>
  <si>
    <t>Current Opinion in Neurology</t>
  </si>
  <si>
    <t>Te Linde's Operative Gynecology</t>
  </si>
  <si>
    <t>978-1-4511-9368-8</t>
  </si>
  <si>
    <t>Pediatric Chiropractic</t>
  </si>
  <si>
    <t>http://ovidsp.ovid.com/rss/journals/00017285/current.rss</t>
  </si>
  <si>
    <t>http://ovidsp.ovid.com/rss/journals/00131746/current.rss</t>
  </si>
  <si>
    <t>978-0-7817-9750-4</t>
  </si>
  <si>
    <t>http://ovidsp.ovid.com/rss/journals/00042728/current.rss</t>
  </si>
  <si>
    <t>Topics in Clinical Nutrition</t>
  </si>
  <si>
    <t>0361-929X</t>
  </si>
  <si>
    <t>Stocker and Dehner's Pediatric Pathology</t>
  </si>
  <si>
    <t>Adult Hip, The: Hip Arthroplasty Surgery</t>
  </si>
  <si>
    <t>American Heart Association</t>
  </si>
  <si>
    <t>Master Techniques in Surgery: Breast Surgery</t>
  </si>
  <si>
    <t>0003-4932</t>
  </si>
  <si>
    <t>http://ovidsp.ovid.com/rss/journals/00000372/current.rss</t>
  </si>
  <si>
    <t>1932-8095</t>
  </si>
  <si>
    <t>International Anesthesia Research Society</t>
  </si>
  <si>
    <t>0886-3350</t>
  </si>
  <si>
    <t>1-4511-8472-7</t>
  </si>
  <si>
    <t>Radiobiology for the Radiologist</t>
  </si>
  <si>
    <t>978-1-4511-4411-6</t>
  </si>
  <si>
    <t>January 2015 - October 2020</t>
  </si>
  <si>
    <t>1-4511-9395-5</t>
  </si>
  <si>
    <t>http://ovidsp.ovid.com/rss/journals/00005237/current.rss</t>
  </si>
  <si>
    <t>978-1-9751-0955-4</t>
  </si>
  <si>
    <t>Handbook of Dialysis</t>
  </si>
  <si>
    <t>1-4963-9752-5</t>
  </si>
  <si>
    <t>1-4511-9336-X</t>
  </si>
  <si>
    <t>1-4511-9301-7</t>
  </si>
  <si>
    <t>1-9751-0955-4</t>
  </si>
  <si>
    <t>September 30, 2020</t>
  </si>
  <si>
    <t>http://ovidsp.ovid.com/rss/journals/01241330/current.rss</t>
  </si>
  <si>
    <t>Clinical Orthopaedics &amp; Related Research</t>
  </si>
  <si>
    <t>http://ovidsp.ovid.com/rss/journals/00076734/pap.rss</t>
  </si>
  <si>
    <t>1535-282X</t>
  </si>
  <si>
    <t>1-4963-4809-5</t>
  </si>
  <si>
    <t>2160-3251</t>
  </si>
  <si>
    <t>978-1-4963-5400-6</t>
  </si>
  <si>
    <t>Nurse's Legal Handbook</t>
  </si>
  <si>
    <t>1-4963-3703-4</t>
  </si>
  <si>
    <t>0362-2436</t>
  </si>
  <si>
    <t>Operative Techniques in Orthopaedic Trauma Surgery</t>
  </si>
  <si>
    <t>http://ovidsp.ovid.com/rss/journals/00002030/current.rss</t>
  </si>
  <si>
    <t>2329-9185</t>
  </si>
  <si>
    <t>http://ovidsp.ovid.com/rss/journals/00003643/current.rss</t>
  </si>
  <si>
    <t>http://ovidsp.ovid.com/rss/journals/00001573/current.rss</t>
  </si>
  <si>
    <t>Current Opinion in Oncology</t>
  </si>
  <si>
    <t>http://ovidsp.ovid.com/rss/journals/00063198/pap.rss</t>
  </si>
  <si>
    <t>http://ovidsp.ovid.com/rss/journals/00126097/pap.rss</t>
  </si>
  <si>
    <t>Nurse Practitioner</t>
  </si>
  <si>
    <t>1-4511-0047-7</t>
  </si>
  <si>
    <t>978-1-4511-8686-4</t>
  </si>
  <si>
    <t>OVIDSP</t>
  </si>
  <si>
    <t>http://ovidsp.ovid.com/rss/journals/00004836/pap.rss</t>
  </si>
  <si>
    <t>JBJS Case Connector</t>
  </si>
  <si>
    <t>0885-3177</t>
  </si>
  <si>
    <t>Publisher</t>
  </si>
  <si>
    <t>Pocket Cardiology: A Companion to Pocket Medicine</t>
  </si>
  <si>
    <t>1-4963-3717-4</t>
  </si>
  <si>
    <t>1089-3393</t>
  </si>
  <si>
    <t>October 09, 2020</t>
  </si>
  <si>
    <t>1550-512X</t>
  </si>
  <si>
    <t>October 1, 2020</t>
  </si>
  <si>
    <t>March 2015 - September 2020</t>
  </si>
  <si>
    <t>1-9751-1144-3</t>
  </si>
  <si>
    <t>1-4511-7662-7</t>
  </si>
  <si>
    <t>http://ovidsp.ovid.com/rss/journals/00008506/current.rss</t>
  </si>
  <si>
    <t>1524-4571</t>
  </si>
  <si>
    <t>Current Opinion in Nephrology &amp; Hypertension</t>
  </si>
  <si>
    <t>0033-3174</t>
  </si>
  <si>
    <t>Biomedical Safety &amp; Standards</t>
  </si>
  <si>
    <t>Plastic &amp; Reconstructive Surgery</t>
  </si>
  <si>
    <t>Blood Pressure Monitoring</t>
  </si>
  <si>
    <t>1-6054-7614-5</t>
  </si>
  <si>
    <t>Marriott's Practical Electrocardiography</t>
  </si>
  <si>
    <t>Echo Manual, The</t>
  </si>
  <si>
    <t>Neuroscience of Clinical Psychiatry, The: The Pathophysiology of Behavior and Mental Illness</t>
  </si>
  <si>
    <t>1-4963-7004-X</t>
  </si>
  <si>
    <t>http://ovidsp.ovid.com/rss/journals/00024720/pap.rss</t>
  </si>
  <si>
    <t>January 15, 2015 - December 31, 2015</t>
  </si>
  <si>
    <t>Addictive Disorders &amp; Their Treatment</t>
  </si>
  <si>
    <t>http://ovidsp.ovid.com/rss/journals/00019514/current.rss</t>
  </si>
  <si>
    <t>1536-5395</t>
  </si>
  <si>
    <t>January 15, 2015</t>
  </si>
  <si>
    <t>0009-921X</t>
  </si>
  <si>
    <t>February 2001</t>
  </si>
  <si>
    <t>12th_Edition</t>
  </si>
  <si>
    <t>978-1-4511-9275-9</t>
  </si>
  <si>
    <t>http://ovidsp.ovid.com/rss/journals/00006223/pap.rss</t>
  </si>
  <si>
    <t>Sternberg's Diagnostic Surgical Pathology</t>
  </si>
  <si>
    <t>Sports Medicine &amp; Arthroscopy Review</t>
  </si>
  <si>
    <t>978-1-4511-9427-2</t>
  </si>
  <si>
    <t>December 15, 2014</t>
  </si>
  <si>
    <t>http://ovidsp.ovid.com/rss/journals/00132587/pap.rss</t>
  </si>
  <si>
    <t>978-1-4963-5196-8</t>
  </si>
  <si>
    <t>1365-2346</t>
  </si>
  <si>
    <t>Visual Diagnosis and Care of the Patient with Special Needs</t>
  </si>
  <si>
    <t>1044-3983</t>
  </si>
  <si>
    <t>1524-4725</t>
  </si>
  <si>
    <t>May 1922</t>
  </si>
  <si>
    <t>1751-4258</t>
  </si>
  <si>
    <t>Topics in Obstetrics &amp; Gynecology</t>
  </si>
  <si>
    <t>Current Opinion in Ophthalmology</t>
  </si>
  <si>
    <t>978-1-4963-9460-6</t>
  </si>
  <si>
    <t>Clinical Nuclear Medicine</t>
  </si>
  <si>
    <t>1-4511-9163-4</t>
  </si>
  <si>
    <t>http://ovidsp.ovid.com/rss/journals/01874474/current.rss</t>
  </si>
  <si>
    <t>January-March 2015</t>
  </si>
  <si>
    <t>Investigative Radiology</t>
  </si>
  <si>
    <t>6th_Edition</t>
  </si>
  <si>
    <t>Neurology Clinical Practice</t>
  </si>
  <si>
    <t>January 7, 2015</t>
  </si>
  <si>
    <t>1363-1950</t>
  </si>
  <si>
    <t>978-1-4511-4625-7</t>
  </si>
  <si>
    <t>1535-1122</t>
  </si>
  <si>
    <t>1535-1815</t>
  </si>
  <si>
    <t>Journal of Patient Safety</t>
  </si>
  <si>
    <t>Clinical Cases in Eye Care</t>
  </si>
  <si>
    <t>1533-4112</t>
  </si>
  <si>
    <t>http://ovidsp.ovid.com/rss/journals/00134384/current.rss</t>
  </si>
  <si>
    <t>Handbook of Fractures</t>
  </si>
  <si>
    <t>http://ovidsp.ovid.com/rss/journals/00063110/pap.rss</t>
  </si>
  <si>
    <t>Latest Volume</t>
  </si>
  <si>
    <t>http://ovidsp.ovid.com/rss/journals/00127893/current.rss</t>
  </si>
  <si>
    <t>Sarrafian's Anatomy of the Foot and Ankle: Descriptive, Topographical, Functional</t>
  </si>
  <si>
    <t>1-4511-9519-2</t>
  </si>
  <si>
    <t>Beginning Volume</t>
  </si>
  <si>
    <t>1531-6998</t>
  </si>
  <si>
    <t>1-4963-0947-2</t>
  </si>
  <si>
    <t>January 15, 2015 - November 1, 2020</t>
  </si>
  <si>
    <t>http://ovidsp.ovid.com/rss/journals/00001163/current.rss</t>
  </si>
  <si>
    <t>International Ophthalmology Clinics</t>
  </si>
  <si>
    <t>Current Opinion in Obstetrics &amp; Gynecology</t>
  </si>
  <si>
    <t>978-1-4511-7653-7</t>
  </si>
  <si>
    <t>January 2013 - November 2020</t>
  </si>
  <si>
    <t>1-4963-4418-9</t>
  </si>
  <si>
    <t>1539-591X</t>
  </si>
  <si>
    <t>0954-691X</t>
  </si>
  <si>
    <t>1-9751-0866-3</t>
  </si>
  <si>
    <t>Clinical Dysmorphology</t>
  </si>
  <si>
    <t>Medicine</t>
  </si>
  <si>
    <t>1-4511-9530-3</t>
  </si>
  <si>
    <t>1528-1175</t>
  </si>
  <si>
    <t>1526-7598</t>
  </si>
  <si>
    <t>978-1-4511-9146-2</t>
  </si>
  <si>
    <t>November 30, 2015</t>
  </si>
  <si>
    <t>OvidSP</t>
  </si>
  <si>
    <t>2161-6094</t>
  </si>
  <si>
    <t>http://ovidsp.ovid.com/rss/journals/00124509/pap.rss</t>
  </si>
  <si>
    <t>0-7817-5386-4</t>
  </si>
  <si>
    <t>July/September 2020</t>
  </si>
  <si>
    <t>http://ovidsp.ovid.com/rss/journals/00020840/pap.rss</t>
  </si>
  <si>
    <t>1473-6519</t>
  </si>
  <si>
    <t>1-4511-7585-X</t>
  </si>
  <si>
    <t>http://ovidsp.ovid.com/rss/journals/00129334/current.rss</t>
  </si>
  <si>
    <t>1531-7048</t>
  </si>
  <si>
    <t>http://ovidsp.ovid.com/rss/journals/00000434/current.rss</t>
  </si>
  <si>
    <t>978-1-4511-8882-0</t>
  </si>
  <si>
    <t>0957-9672</t>
  </si>
  <si>
    <t>Operative Techniques in Transplantation Surgery</t>
  </si>
  <si>
    <t>http://ovidsp.ovid.com/rss/journals/00006114/current.rss</t>
  </si>
  <si>
    <t>http://ovidsp.ovid.com/rss/journals/00001786/current.rss</t>
  </si>
  <si>
    <t>1077-4114</t>
  </si>
  <si>
    <t>Nutrition in Clinical Practice: A Comprehensive, Evidence-Based Manual for the Practitioner</t>
  </si>
  <si>
    <t>Berek &amp; Hacker's Gynecologic Oncology</t>
  </si>
  <si>
    <t>Nursing Critical Care</t>
  </si>
  <si>
    <t>http://ovidsp.ovid.com/rss/journals/01271211/current.rss</t>
  </si>
  <si>
    <t>1-4963-0608-2</t>
  </si>
  <si>
    <t>1-4511-9445-5</t>
  </si>
  <si>
    <t>http://ovidsp.ovid.com/rss/journals/00008480/pap.rss</t>
  </si>
  <si>
    <t>1752-296X</t>
  </si>
  <si>
    <t>Cardiology in Review</t>
  </si>
  <si>
    <t>1473-5741</t>
  </si>
  <si>
    <t>0277-3740</t>
  </si>
  <si>
    <t>1-9751-2006-X</t>
  </si>
  <si>
    <t>http://ovidsp.ovid.com/rss/journals/00004623/current.rss</t>
  </si>
  <si>
    <t>Point of Care: The Journal of Near-Patient Testing &amp; Technology</t>
  </si>
  <si>
    <t>http://ovidsp.ovid.com/rss/journals/00003072/current.rss</t>
  </si>
  <si>
    <t>Genital Dermatology Atlas and Manual</t>
  </si>
  <si>
    <t>978-1-4511-0814-9</t>
  </si>
  <si>
    <t>Kaplan's Clinical Hypertension</t>
  </si>
  <si>
    <t>January 2015</t>
  </si>
  <si>
    <t>978-1-4963-1219-8</t>
  </si>
  <si>
    <t>1525-8599</t>
  </si>
  <si>
    <t>Evidence-Based Endocrinology</t>
  </si>
  <si>
    <t>0749-5161</t>
  </si>
  <si>
    <t>January 1, 2018</t>
  </si>
  <si>
    <t>http://ovidsp.ovid.com/rss/journals/01222929/pap.rss</t>
  </si>
  <si>
    <t>PAIN Reports</t>
  </si>
  <si>
    <t>RSS Feed URL</t>
  </si>
  <si>
    <t>0002-936X</t>
  </si>
  <si>
    <t>http://ovidsp.ovid.com/rss/journals/00041552/current.rss</t>
  </si>
  <si>
    <t>1537-162X</t>
  </si>
  <si>
    <t>Critical Pathways in Cardiology: A Journal of Evidence-Based Medicine</t>
  </si>
  <si>
    <t>http://ovidsp.ovid.com/rss/journals/00045413/current.rss</t>
  </si>
  <si>
    <t>Speroff &amp; Darney's Clinical Guide to Contraception</t>
  </si>
  <si>
    <t>July 2016 - November/December 2020</t>
  </si>
  <si>
    <t>Wilkinson and Stone Atlas of Vulvar Disease</t>
  </si>
  <si>
    <t>Drugs in Pregnancy and Lactation</t>
  </si>
  <si>
    <t>October 2013</t>
  </si>
  <si>
    <t>28th_Edition</t>
  </si>
  <si>
    <t>http://ovidsp.ovid.com/rss/journals/02158034/current.rss</t>
  </si>
  <si>
    <t>2332-7812</t>
  </si>
  <si>
    <t>978-1-4511-9013-7</t>
  </si>
  <si>
    <t>0020-5907</t>
  </si>
  <si>
    <t>http://ovidsp.ovid.com/rss/journals/01929425/pap.rss</t>
  </si>
  <si>
    <t>European Journal of Anaesthesiology</t>
  </si>
  <si>
    <t>Journal of Psychiatric Practice</t>
  </si>
  <si>
    <t>http://ovidsp.ovid.com/rss/journals/00132585/current.rss</t>
  </si>
  <si>
    <t>Core Curriculum for Transplant Nurses</t>
  </si>
  <si>
    <t>1070-5287</t>
  </si>
  <si>
    <t>1-4963-5585-7</t>
  </si>
  <si>
    <t>Primary Care Psychiatry</t>
  </si>
  <si>
    <t>Techniques in Ophthalmology</t>
  </si>
  <si>
    <t>October 2013 - December 15, 2017</t>
  </si>
  <si>
    <t>978-1-4963-3717-7</t>
  </si>
  <si>
    <t>0360-4039</t>
  </si>
  <si>
    <t>1530-0293</t>
  </si>
  <si>
    <t>http://ovidsp.ovid.com/rss/journals/00001648/current.rss</t>
  </si>
  <si>
    <t>January 2015 - November/December 2020</t>
  </si>
  <si>
    <t>http://ovidsp.ovid.com/rss/journals/00001703/current.rss</t>
  </si>
  <si>
    <t>June 2013</t>
  </si>
  <si>
    <t>http://ovidsp.ovid.com/rss/journals/00004479/current.rss</t>
  </si>
  <si>
    <t>5S</t>
  </si>
  <si>
    <t>978-1-4511-8874-5</t>
  </si>
  <si>
    <t>December 2020</t>
  </si>
  <si>
    <t>1531-7013</t>
  </si>
  <si>
    <t>978-1-4511-9073-1</t>
  </si>
  <si>
    <t>Family &amp; Community Health</t>
  </si>
  <si>
    <t>978-1-4963-7994-8</t>
  </si>
  <si>
    <t>1473-5830</t>
  </si>
  <si>
    <t>January 15, 2015 - November 01, 2020</t>
  </si>
  <si>
    <t>http://ovidsp.ovid.com/rss/journals/00005382/pap.rss</t>
  </si>
  <si>
    <t>Master Techniques in Orthopaedic Surgery: Knee Arthroplasty</t>
  </si>
  <si>
    <t>978-1-4698-7320-6</t>
  </si>
  <si>
    <t>December 2011 - October 2020</t>
  </si>
  <si>
    <t>1-4963-8485-7</t>
  </si>
  <si>
    <t>http://ovidsp.ovid.com/rss/journals/00003446/current.rss</t>
  </si>
  <si>
    <t>http://ovidsp.ovid.com/rss/journals/00004728/pap.rss</t>
  </si>
  <si>
    <t>http://ovidsp.ovid.com/rss/journals/00003086/pap.rss</t>
  </si>
  <si>
    <t>1473-6500</t>
  </si>
  <si>
    <t>1-4511-9146-4</t>
  </si>
  <si>
    <t>Journal of Cardiopulmonary Rehabilitation &amp; Prevention</t>
  </si>
  <si>
    <t>http://ovidsp.ovid.com/rss/journals/00006114/pap.rss</t>
  </si>
  <si>
    <t>April-June 2011</t>
  </si>
  <si>
    <t>Master Techniques in Surgery: Thoracic Surgery - Lung Resections, Bronchoplasty</t>
  </si>
  <si>
    <t>Melanoma Research</t>
  </si>
  <si>
    <t>978-1-9751-1304-9</t>
  </si>
  <si>
    <t>978-1-9751-0728-4</t>
  </si>
  <si>
    <t>Current Opinion in Endocrinology, Diabetes &amp; Obesity</t>
  </si>
  <si>
    <t>October 2016</t>
  </si>
  <si>
    <t>1-4511-9427-7</t>
  </si>
  <si>
    <t>1-4511-2118-0</t>
  </si>
  <si>
    <t>Journal of Pediatric Hematology/Oncology</t>
  </si>
  <si>
    <t>1-4963-8033-9</t>
  </si>
  <si>
    <t>978-1-4963-5619-2</t>
  </si>
  <si>
    <t>http://ovidsp.ovid.com/rss/journals/00002820/current.rss</t>
  </si>
  <si>
    <t>1-4963-6778-2</t>
  </si>
  <si>
    <t>0039-2499</t>
  </si>
  <si>
    <t>http://ovidsp.ovid.com/rss/journals/00008390/current.rss</t>
  </si>
  <si>
    <t>1-6083-1300-X</t>
  </si>
  <si>
    <t>Journal of Cardiovascular Nursing</t>
  </si>
  <si>
    <t>1537-1913</t>
  </si>
  <si>
    <t>http://ovidsp.ovid.com/rss/journals/00005110/current.rss</t>
  </si>
  <si>
    <t>http://ovidsp.ovid.com/rss/journals/00004714/current.rss</t>
  </si>
  <si>
    <t>January/February 2015 - September 2020</t>
  </si>
  <si>
    <t>http://ovidsp.ovid.com/rss/journals/00002093/pap.rss</t>
  </si>
  <si>
    <t>Reviews in Medical Microbiology</t>
  </si>
  <si>
    <t>0149-9009</t>
  </si>
  <si>
    <t>1-4511-7653-8</t>
  </si>
  <si>
    <t>978-1-4511-8689-5</t>
  </si>
  <si>
    <t>0963-0643</t>
  </si>
  <si>
    <t>978-1-6083-1906-0</t>
  </si>
  <si>
    <t>Rockwood and Green's Fractures in Adults</t>
  </si>
  <si>
    <t>Patterson's Allergic Diseases</t>
  </si>
  <si>
    <t>http://ovidsp.ovid.com/rss/journals/00019605/current.rss</t>
  </si>
  <si>
    <t>http://ovidsp.ovid.com/rss/journals/00005176/current.rss</t>
  </si>
  <si>
    <t>Clinical Scenarios in Surgery: Decision Making and Operative Technique</t>
  </si>
  <si>
    <t>Fleisher &amp; Ludwig's Textbook of Pediatric Emergency Medicine</t>
  </si>
  <si>
    <t>0883-5993</t>
  </si>
  <si>
    <t>1473-6586</t>
  </si>
  <si>
    <t>Manual of Nutritional Therapeutics</t>
  </si>
  <si>
    <t>http://ovidsp.ovid.com/rss/journals/00029679/current.rss</t>
  </si>
  <si>
    <t>1063-8628</t>
  </si>
  <si>
    <t>0002-9270</t>
  </si>
  <si>
    <t>978-1-4511-8998-8</t>
  </si>
  <si>
    <t>Journal of Hypertension</t>
  </si>
  <si>
    <t>978-1-4511-9423-4</t>
  </si>
  <si>
    <t>Advances in Skin &amp; Wound Care</t>
  </si>
  <si>
    <t>http://ovidsp.ovid.com/rss/journals/00003465/current.rss</t>
  </si>
  <si>
    <t>http://ovidsp.ovid.com/rss/journals/00041433/current.rss</t>
  </si>
  <si>
    <t>http://ovidsp.ovid.com/rss/journals/01266029/current.rss</t>
  </si>
  <si>
    <t>February 2001 - October/December 2017</t>
  </si>
  <si>
    <t>http://ovidsp.ovid.com/rss/journals/01720096/current.rss</t>
  </si>
  <si>
    <t>http://ovidsp.ovid.com/rss/journals/00001721/current.rss</t>
  </si>
  <si>
    <t>1473-656X</t>
  </si>
  <si>
    <t>Journal of Thoracic Imaging</t>
  </si>
  <si>
    <t>1473-5687</t>
  </si>
  <si>
    <t>978-1-4963-6763-1</t>
  </si>
  <si>
    <t>978-1-4511-3218-2</t>
  </si>
  <si>
    <t>http://ovidsp.ovid.com/rss/journals/00132576/pap.rss</t>
  </si>
  <si>
    <t>978-1-4963-9693-8</t>
  </si>
  <si>
    <t>1543-9879</t>
  </si>
  <si>
    <t>http://ovidsp.ovid.com/rss/journals/00124743/pap.rss</t>
  </si>
  <si>
    <t>978-1-4511-1783-7</t>
  </si>
  <si>
    <t>ISBN-10</t>
  </si>
  <si>
    <t>1-4963-3950-9</t>
  </si>
  <si>
    <t>978-1-9751-2006-1</t>
  </si>
  <si>
    <t>1-4963-9693-6</t>
  </si>
  <si>
    <t>Pain</t>
  </si>
  <si>
    <t>American Journal of Physical Medicine &amp; Rehabilitation</t>
  </si>
  <si>
    <t>0029-666X</t>
  </si>
  <si>
    <t>1-4963-9894-7</t>
  </si>
  <si>
    <t>1533-0311</t>
  </si>
  <si>
    <t>978-1-4963-8824-7</t>
  </si>
  <si>
    <t>1-4511-8664-9</t>
  </si>
  <si>
    <t>Moss and Adams' Heart Disease in Infants, Children, and Adolescents: Including the Fetus and Young Adult</t>
  </si>
  <si>
    <t>978-1-6054-7550-9</t>
  </si>
  <si>
    <t>1-4963-5196-7</t>
  </si>
  <si>
    <t>January 2015 - October 15, 2020</t>
  </si>
  <si>
    <t>1538-9804</t>
  </si>
  <si>
    <t>978-1-4698-9718-9</t>
  </si>
  <si>
    <t>978-1-4963-4418-2</t>
  </si>
  <si>
    <t>Journal of Clinical Psychopharmacology</t>
  </si>
  <si>
    <t>Handbook of Chronic Kidney Disease Management</t>
  </si>
  <si>
    <t>Dermatologic Surgery</t>
  </si>
  <si>
    <t>http://ovidsp.ovid.com/rss/journals/01933606/pap.rss</t>
  </si>
  <si>
    <t>978-1-4963-1505-2</t>
  </si>
  <si>
    <t>978-1-4963-1827-5</t>
  </si>
  <si>
    <t>http://ovidsp.ovid.com/rss/journals/00124784/current.rss</t>
  </si>
  <si>
    <t>1040-2446</t>
  </si>
  <si>
    <t>1938-1395</t>
  </si>
  <si>
    <t>McGlamry's Comprehensive Textbook of Foot and Ankle Surgery</t>
  </si>
  <si>
    <t>0304-3959</t>
  </si>
  <si>
    <t>2169-7574</t>
  </si>
  <si>
    <t>Jumpstart</t>
  </si>
  <si>
    <t>http://ovidsp.ovid.com/rss/journals/00219246/current.rss</t>
  </si>
  <si>
    <t>Evidence-Based Eye Care</t>
  </si>
  <si>
    <t>http://ovidsp.ovid.com/rss/journals/01787401/current.rss</t>
  </si>
  <si>
    <t>http://ovidsp.ovid.com/rss/journals/00075198/current.rss</t>
  </si>
  <si>
    <t>CIN: Computers, Informatics, Nursing</t>
  </si>
  <si>
    <t>June 2015 - October 2020</t>
  </si>
  <si>
    <t>1-4963-8087-8</t>
  </si>
  <si>
    <t>CMSA Core Curriculum for Case Management</t>
  </si>
  <si>
    <t>http://ovidsp.ovid.com/rss/journals/00007632/pap.rss</t>
  </si>
  <si>
    <t>Pancreas</t>
  </si>
  <si>
    <t>978-1-4963-3703-0</t>
  </si>
  <si>
    <t>January 6, 2015</t>
  </si>
  <si>
    <t>978-1-4511-9445-6</t>
  </si>
  <si>
    <t>978-1-4963-8616-8</t>
  </si>
  <si>
    <t>1-4511-9423-4</t>
  </si>
  <si>
    <t>1-6054-7565-3</t>
  </si>
  <si>
    <t>1550-5073</t>
  </si>
  <si>
    <t>Cognitive &amp; Behavioral Neurology</t>
  </si>
  <si>
    <t>1536-4801</t>
  </si>
  <si>
    <t>http://ovidsp.ovid.com/rss/journals/00000542/pap.rss</t>
  </si>
  <si>
    <t>978-1-4963-7266-6</t>
  </si>
  <si>
    <t>Lippincott Williams &amp; Wilkins</t>
  </si>
  <si>
    <t>1-4963-1505-7</t>
  </si>
  <si>
    <t>1-4511-8686-X</t>
  </si>
  <si>
    <t>January/February 2015</t>
  </si>
  <si>
    <t>Antibiotic Basics for Clinicians: The ABCs of Choosing the Right Antibacterial Agent</t>
  </si>
  <si>
    <t>1536-9617</t>
  </si>
  <si>
    <t>1537-1611</t>
  </si>
  <si>
    <t>1-4963-7723-0</t>
  </si>
  <si>
    <t>1 and 2 - Special Issue</t>
  </si>
  <si>
    <t>http://ovidsp.ovid.com/rss/journals/02158034/pap.rss</t>
  </si>
  <si>
    <t>January 2015 - September/October 2020</t>
  </si>
  <si>
    <t>1-9751-1434-5</t>
  </si>
  <si>
    <t>http://ovidsp.ovid.com/rss/journals/00045391/current.rss</t>
  </si>
  <si>
    <t>Eyelid, Conjunctival, and Orbital Tumors: An Atlas and Textbook</t>
  </si>
  <si>
    <t>978-1-4511-5172-5</t>
  </si>
  <si>
    <t>http://ovidsp.ovid.com/rss/journals/00002508/current.rss</t>
  </si>
  <si>
    <t>Clinical Epidemiology: The Essentials</t>
  </si>
  <si>
    <t>http://ovidsp.ovid.com/rss/journals/00152193/current.rss</t>
  </si>
  <si>
    <t>1536-0253</t>
  </si>
  <si>
    <t>Journal of Pediatric Gastroenterology &amp; Nutrition</t>
  </si>
  <si>
    <t>Medical Care</t>
  </si>
  <si>
    <t>Manual of Endocrinology and Metabolism</t>
  </si>
  <si>
    <t>Clinical Neuropharmacology</t>
  </si>
  <si>
    <t>1540-336X</t>
  </si>
  <si>
    <t>http://ovidsp.ovid.com/rss/journals/00003246/current.rss</t>
  </si>
  <si>
    <t>1537-4521</t>
  </si>
  <si>
    <t>Current Opinion in Infectious Diseases</t>
  </si>
  <si>
    <t>978-1-4963-8654-0</t>
  </si>
  <si>
    <t>1539-2570</t>
  </si>
  <si>
    <t>Journal Title</t>
  </si>
  <si>
    <t>1-4511-2740-5</t>
  </si>
  <si>
    <t>1-9751-2734-X</t>
  </si>
  <si>
    <t>978-1-4963-7866-8</t>
  </si>
  <si>
    <t>http://ovidsp.ovid.com/rss/journals/00004268/pap.rss</t>
  </si>
  <si>
    <t>http://ovidsp.ovid.com/rss/journals/00019501/current.rss</t>
  </si>
  <si>
    <t>1572-0241</t>
  </si>
  <si>
    <t>Year Coverage</t>
  </si>
  <si>
    <t>978-1-4698-9001-2</t>
  </si>
  <si>
    <t>http://ovidsp.ovid.com/rss/journals/00135124/current.rss</t>
  </si>
  <si>
    <t>1076-0512</t>
  </si>
  <si>
    <t>http://ovidsp.ovid.com/rss/journals/00124635/current.rss</t>
  </si>
  <si>
    <t>0003-2999</t>
  </si>
  <si>
    <t>Critical Care Medicine: The Essentials and More</t>
  </si>
  <si>
    <t>1-6083-1906-7</t>
  </si>
  <si>
    <t>Coronary Artery Disease</t>
  </si>
  <si>
    <t>Anatomy of the Eye and Orbit: The Clinical Essentials</t>
  </si>
  <si>
    <t>http://ovidsp.ovid.com/rss/journals/00005131/current.rss</t>
  </si>
  <si>
    <t>1473-6322</t>
  </si>
  <si>
    <t>Cancer Journal</t>
  </si>
  <si>
    <t>Cardiopulmonary Bypass and Mechanical Support: Principles &amp; Practice</t>
  </si>
  <si>
    <t>1065-6251</t>
  </si>
  <si>
    <t>Torres' Patient Care in Imaging Technology</t>
  </si>
  <si>
    <t>Blood Coagulation &amp; Fibrinolysis</t>
  </si>
  <si>
    <t>http://ovidsp.ovid.com/rss/journals/00003727/current.rss</t>
  </si>
  <si>
    <t>http://ovidsp.ovid.com/rss/journals/00001504/current.rss</t>
  </si>
  <si>
    <t>2575-3126</t>
  </si>
  <si>
    <t>2374-4529</t>
  </si>
  <si>
    <t>9th_Edition</t>
  </si>
  <si>
    <t>0-7817-3390-1</t>
  </si>
  <si>
    <t>Merritt's Neurology</t>
  </si>
  <si>
    <t>June 2013 - January 2021</t>
  </si>
  <si>
    <t>0363-8855</t>
  </si>
  <si>
    <t>January 2000 - October 2004</t>
  </si>
  <si>
    <t>1076-1608</t>
  </si>
  <si>
    <t>Journal of Pediatric Orthopaedics B</t>
  </si>
  <si>
    <t>http://ovidsp.ovid.com/rss/journals/00006250/current.rss</t>
  </si>
  <si>
    <t>2471-2531</t>
  </si>
  <si>
    <t>978-1-4963-9805-5</t>
  </si>
  <si>
    <t>1550-509X</t>
  </si>
  <si>
    <t>1-4511-9368-8</t>
  </si>
  <si>
    <t>Current Opinion in Organ Transplantation</t>
  </si>
  <si>
    <t>November/December 2009</t>
  </si>
  <si>
    <t>1553-0582</t>
  </si>
  <si>
    <t>978-1-4963-8679-3</t>
  </si>
  <si>
    <t>OR Nurse</t>
  </si>
  <si>
    <t>1533-404X</t>
  </si>
  <si>
    <t>978-1-4963-8485-0</t>
  </si>
  <si>
    <t>978-0-7817-9752-8</t>
  </si>
  <si>
    <t>February 2015 - December 2015</t>
  </si>
  <si>
    <t>978-1-4963-6685-6</t>
  </si>
  <si>
    <t>http://ovidsp.ovid.com/rss/journals/01436970/pap.rss</t>
  </si>
  <si>
    <t>Perez and Brady's Principles and Practice of Radiation Oncology</t>
  </si>
  <si>
    <t>http://ovidsp.ovid.com/rss/journals/01241398/current.rss</t>
  </si>
  <si>
    <t>978-1-4963-0024-9</t>
  </si>
  <si>
    <t>2381-652X</t>
  </si>
  <si>
    <t>0275-004X</t>
  </si>
  <si>
    <t>1555-9211</t>
  </si>
  <si>
    <t>http://ovidsp.ovid.com/rss/journals/00004356/pap.rss</t>
  </si>
  <si>
    <t>1-9751-1333-0</t>
  </si>
  <si>
    <t>Latest Issue</t>
  </si>
  <si>
    <t>January 15, 2016</t>
  </si>
  <si>
    <t>January/February 2015 - September/October 2020</t>
  </si>
  <si>
    <t>1528-1132</t>
  </si>
  <si>
    <t>978-1-4963-2514-3</t>
  </si>
  <si>
    <t>7S</t>
  </si>
  <si>
    <t>Ear &amp; Hearing</t>
  </si>
  <si>
    <t>Stroke</t>
  </si>
  <si>
    <t>April-June 2011 - July-September 2020</t>
  </si>
  <si>
    <t>http://ovidsp.ovid.com/rss/journals/00001432/current.rss</t>
  </si>
  <si>
    <t>Lovell and Winter's Pediatric Orthopaedics</t>
  </si>
  <si>
    <t>January 2015 - July 2020</t>
  </si>
  <si>
    <t>http://ovidsp.ovid.com/rss/journals/01720097/current.rss</t>
  </si>
  <si>
    <t>36th_Edition</t>
  </si>
  <si>
    <t>1536-3694</t>
  </si>
  <si>
    <t>April 2015 - October 2020</t>
  </si>
  <si>
    <t>1536-5409</t>
  </si>
  <si>
    <t>Circulation</t>
  </si>
  <si>
    <t>Practical Approach to Transesophageal Echocardiography, A</t>
  </si>
  <si>
    <t>http://ovidsp.ovid.com/rss/journals/00129039/current.rss</t>
  </si>
  <si>
    <t>1-4963-4341-7</t>
  </si>
  <si>
    <t>January/February 2015 - November/December 2020</t>
  </si>
  <si>
    <t>1538-1935</t>
  </si>
  <si>
    <t>http://ovidsp.ovid.com/rss/journals/00062752/current.rss</t>
  </si>
  <si>
    <t>1-6091-3971-2</t>
  </si>
  <si>
    <t>http://ovidsp.ovid.com/rss/journals/00063198/current.rss</t>
  </si>
  <si>
    <t>5-Minute Urology Consult, The</t>
  </si>
  <si>
    <t>Nuclear Medicine Communications</t>
  </si>
  <si>
    <t>0-7817-8057-8</t>
  </si>
  <si>
    <t>http://ovidsp.ovid.com/rss/journals/00045415/current.rss</t>
  </si>
  <si>
    <t>1-4963-2615-6</t>
  </si>
  <si>
    <t>http://ovidsp.ovid.com/rss/journals/00008877/current.rss</t>
  </si>
  <si>
    <t>Arteriosclerosis, Thrombosis &amp; Vascular Biology</t>
  </si>
  <si>
    <t>978-1-4963-6842-3</t>
  </si>
  <si>
    <t>Practical Guide to Emergency Ultrasound</t>
  </si>
  <si>
    <t>http://ovidsp.ovid.com/rss/journals/00124784/pap.rss</t>
  </si>
  <si>
    <t>1-4511-9186-3</t>
  </si>
  <si>
    <t>978-1-4963-9973-1</t>
  </si>
  <si>
    <t>1473-5695</t>
  </si>
  <si>
    <t>http://ovidsp.ovid.com/rss/journals/00042752/current.rss</t>
  </si>
  <si>
    <t>1532-0987</t>
  </si>
  <si>
    <t>1536-7355</t>
  </si>
  <si>
    <t>http://ovidsp.ovid.com/rss/journals/01337441/current.rss</t>
  </si>
  <si>
    <t>http://ovidsp.ovid.com/rss/journals/00003017/current.rss</t>
  </si>
  <si>
    <t>Current Opinion in Urology</t>
  </si>
  <si>
    <t>978-1-4511-1668-7</t>
  </si>
  <si>
    <t>1-9751-1348-9</t>
  </si>
  <si>
    <t>Pharmacogenetics and Genomics</t>
  </si>
  <si>
    <t>http://ovidsp.ovid.com/rss/journals/01244666/current.rss</t>
  </si>
  <si>
    <t>Obstetrical &amp; Gynecological Survey</t>
  </si>
  <si>
    <t>1473-5636</t>
  </si>
  <si>
    <t>http://ovidsp.ovid.com/rss/journals/00006982/current.rss</t>
  </si>
  <si>
    <t>Washington Manual Cardiology Subspecialty Consult, The</t>
  </si>
  <si>
    <t>http://ovidsp.ovid.com/rss/journals/02158035/current.rss</t>
  </si>
  <si>
    <t>Essential Guide to Primary Care Procedures, The</t>
  </si>
  <si>
    <t>http://ovidsp.ovid.com/rss/journals/00002093/current.rss</t>
  </si>
  <si>
    <t>http://ovidsp.ovid.com/rss/journals/00005344/current.rss</t>
  </si>
  <si>
    <t>January/March 2015</t>
  </si>
  <si>
    <t>1-4511-9013-1</t>
  </si>
  <si>
    <t>1-4963-9460-7</t>
  </si>
  <si>
    <t>International Anesthesiology Clinics</t>
  </si>
  <si>
    <t>978-1-4511-9530-9</t>
  </si>
  <si>
    <t>Journal of Nursing Administration</t>
  </si>
  <si>
    <t>http://ovidsp.ovid.com/rss/journals/01709766/current.rss</t>
  </si>
  <si>
    <t>http://ovidsp.ovid.com/rss/journals/00132586/current.rss</t>
  </si>
  <si>
    <t>1-4698-8997-8</t>
  </si>
  <si>
    <t>Clinical Signs in Neurology: A Compendium</t>
  </si>
  <si>
    <t>978-1-4963-5610-9</t>
  </si>
  <si>
    <t>Lippincott Manual of Nursing Practice</t>
  </si>
  <si>
    <t>May 2018 - December 2020</t>
  </si>
  <si>
    <t>http://ovidsp.ovid.com/rss/journals/00129689/pap.rss</t>
  </si>
  <si>
    <t>June 2014 - September 2020</t>
  </si>
  <si>
    <t>February 2015 - October 2020</t>
  </si>
  <si>
    <t>http://ovidsp.ovid.com/rss/journals/00001648/pap.rss</t>
  </si>
  <si>
    <t>1-4511-8871-4</t>
  </si>
  <si>
    <t>Fischer's Mastery of Surgery</t>
  </si>
  <si>
    <t>Search All Journals@Ovid</t>
  </si>
  <si>
    <t>Holistic Nursing Practice</t>
  </si>
  <si>
    <t>1536-481X</t>
  </si>
  <si>
    <t>2160-2204</t>
  </si>
  <si>
    <t>1-4511-8631-2</t>
  </si>
  <si>
    <t>http://ovidsp.ovid.com/rss/journals/00132578/current.rss</t>
  </si>
  <si>
    <t>0899-3459</t>
  </si>
  <si>
    <t>0275-665X</t>
  </si>
  <si>
    <t>1-4963-5610-1</t>
  </si>
  <si>
    <t>Wolters Kluwer Health | Journal of Bone and Joint Surgery</t>
  </si>
  <si>
    <t>1473-5865</t>
  </si>
  <si>
    <t>Current Opinion in Critical Care</t>
  </si>
  <si>
    <t>ISBN-13</t>
  </si>
  <si>
    <t>1536-5956</t>
  </si>
  <si>
    <t>The American Society for Dermatologic Surgery, Inc. Published by Lippincott Williams &amp; Wilkins</t>
  </si>
  <si>
    <t>1-9751-1084-6</t>
  </si>
  <si>
    <t>Neurology Genetics</t>
  </si>
  <si>
    <t>January 2015 - October 1, 2020</t>
  </si>
  <si>
    <t>May 2018</t>
  </si>
  <si>
    <t>1-4963-6738-3</t>
  </si>
  <si>
    <t>0363-9762</t>
  </si>
  <si>
    <t>0889-4655</t>
  </si>
  <si>
    <t>Scott-Conner &amp; Dawson: Essential Operative Techniques and Anatomy</t>
  </si>
  <si>
    <t>February 2016</t>
  </si>
  <si>
    <t>978-1-4963-4341-3</t>
  </si>
  <si>
    <t>0032-1052</t>
  </si>
  <si>
    <t>0148-9917</t>
  </si>
  <si>
    <t>Irwin and Rippe's Intensive Care Medicine</t>
  </si>
  <si>
    <t>1-4963-7866-0</t>
  </si>
  <si>
    <t>1-4963-9823-8</t>
  </si>
  <si>
    <t>http://ovidsp.ovid.com/rss/journals/00075200/pap.rss</t>
  </si>
  <si>
    <t>July-September 2011 - October-December 2020</t>
  </si>
  <si>
    <t>0160-2446</t>
  </si>
  <si>
    <t>0891-3668</t>
  </si>
  <si>
    <t>http://ovidsp.ovid.com/rss/journals/00004311/current.rss</t>
  </si>
  <si>
    <t>1040-8711</t>
  </si>
  <si>
    <t>http://ovidsp.ovid.com/rss/journals/00013542/current.rss</t>
  </si>
  <si>
    <t>http://ovidsp.ovid.com/rss/journals/00007670/current.rss</t>
  </si>
  <si>
    <t>0363-8715</t>
  </si>
  <si>
    <t>September 2002</t>
  </si>
  <si>
    <t>1944-6586</t>
  </si>
  <si>
    <t>978-1-4511-8664-2</t>
  </si>
  <si>
    <t>978-1-9751-0904-2</t>
  </si>
  <si>
    <t>http://ovidsp.ovid.com/rss/journals/00000539/current.rss</t>
  </si>
  <si>
    <t>Journal of Immunotherapy</t>
  </si>
  <si>
    <t>1940-7041</t>
  </si>
  <si>
    <t>http://ovidsp.ovid.com/rss/journals/00132589/current.rss</t>
  </si>
  <si>
    <t>http://ovidsp.ovid.com/rss/journals/01861735/current.rss</t>
  </si>
  <si>
    <t>1-4963-2148-0</t>
  </si>
  <si>
    <t>1-4511-9522-2</t>
  </si>
  <si>
    <t>1543-3633</t>
  </si>
  <si>
    <t>1528-4050</t>
  </si>
  <si>
    <t>Grossman and Baim's Cardiac Catheterization, Angiography, and Intervention</t>
  </si>
  <si>
    <t>Hyatt's Interpretation of Pulmonary Function Tests: A Practical Guide</t>
  </si>
  <si>
    <t>1-4511-5172-1</t>
  </si>
  <si>
    <t>1536-1004</t>
  </si>
  <si>
    <t>978-1-9751-2734-3</t>
  </si>
  <si>
    <t>http://ovidsp.ovid.com/rss/journals/00045415/pap.rss</t>
  </si>
  <si>
    <t>Stedman's Medical Dictionary</t>
  </si>
  <si>
    <t>http://ovidsp.ovid.com/rss/journals/00006676/pap.rss</t>
  </si>
  <si>
    <t>1558-447X</t>
  </si>
  <si>
    <t>January 2015 - October 27, 2020</t>
  </si>
  <si>
    <t>1941-7551</t>
  </si>
  <si>
    <t>Neurology Neuroimmunology &amp; Neuroinflammation</t>
  </si>
  <si>
    <t>American Academy of Neurology</t>
  </si>
  <si>
    <t>January 2, 2015 - October 09, 2020</t>
  </si>
  <si>
    <t>July-September 2011</t>
  </si>
  <si>
    <t>1536-4798</t>
  </si>
  <si>
    <t>http://ovidsp.ovid.com/rss/journals/00002281/current.rss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</si>
</sst>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14" fontId="0" fillId="0" borderId="1" xfId="0" applyNumberFormat="1" applyBorder="1"/>
    <xf numFmtId="0" fontId="0" fillId="0" borderId="1" xfId="0" applyBorder="1"/>
    <xf numFmtId="0" fontId="1" fillId="0" borderId="1" xfId="1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0" fontId="1" fillId="0" borderId="8" xfId="1" applyBorder="1"/>
    <xf numFmtId="0" fontId="0" fillId="0" borderId="9" xfId="0" applyBorder="1"/>
    <xf numFmtId="0" fontId="1" fillId="0" borderId="6" xfId="1" applyBorder="1"/>
    <xf numFmtId="0" fontId="1" fillId="0" borderId="9" xfId="1" applyBorder="1"/>
  </cellXfs>
  <cellStyles count="2">
    <cellStyle name="Hyperlink" xfId="1" builtinId="8"/>
    <cellStyle name="Normal" xfId="0" builtinId="0"/>
  </cellStyles>
  <dxfs count="41">
    <dxf>
      <font>
        <b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m/d/yyyy"/>
    </dxf>
    <dxf>
      <numFmt numFmtId="164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223" totalsRowShown="0" headerRowDxfId="6" headerRowBorderDxfId="25" tableBorderDxfId="26" totalsRowBorderDxfId="24" headerRowCellStyle="Normal">
  <autoFilter ref="A1:Q223" xr:uid="{00000000-0009-0000-0100-000001000000}"/>
  <tableColumns count="17">
    <tableColumn id="1" xr3:uid="{00000000-0010-0000-0000-000001000000}" name="Journal Title" dataDxfId="23"/>
    <tableColumn id="2" xr3:uid="{00000000-0010-0000-0000-000002000000}" name="ISSN" dataDxfId="22"/>
    <tableColumn id="3" xr3:uid="{00000000-0010-0000-0000-000003000000}" name="eISSN" dataDxfId="21"/>
    <tableColumn id="4" xr3:uid="{00000000-0010-0000-0000-000004000000}" name="Publisher" dataDxfId="20"/>
    <tableColumn id="5" xr3:uid="{00000000-0010-0000-0000-000005000000}" name="Beginning Date" dataDxfId="19" totalsRowDxfId="40" dataCellStyle="Normal" totalsRowCellStyle="Normal"/>
    <tableColumn id="6" xr3:uid="{00000000-0010-0000-0000-000006000000}" name="Beginning Volume" dataDxfId="18"/>
    <tableColumn id="7" xr3:uid="{00000000-0010-0000-0000-000007000000}" name="Beginning Issue" dataDxfId="17"/>
    <tableColumn id="8" xr3:uid="{00000000-0010-0000-0000-000008000000}" name="Latest Volume" dataDxfId="16"/>
    <tableColumn id="9" xr3:uid="{00000000-0010-0000-0000-000009000000}" name="Latest Issue" dataDxfId="15"/>
    <tableColumn id="10" xr3:uid="{00000000-0010-0000-0000-00000A000000}" name="Year Coverage" dataDxfId="14"/>
    <tableColumn id="11" xr3:uid="{00000000-0010-0000-0000-00000B000000}" name="Beginning Year Coverage" dataDxfId="13"/>
    <tableColumn id="12" xr3:uid="{00000000-0010-0000-0000-00000C000000}" name="Latest Year Coverage" dataDxfId="12"/>
    <tableColumn id="13" xr3:uid="{00000000-0010-0000-0000-00000D000000}" name="Jumpstart" dataDxfId="11" dataCellStyle="Hyperlink" totalsRowCellStyle="Hyperlink"/>
    <tableColumn id="14" xr3:uid="{00000000-0010-0000-0000-00000E000000}" name="OfferedOn" dataDxfId="10"/>
    <tableColumn id="15" xr3:uid="{00000000-0010-0000-0000-00000F000000}" name="RSS Feed URL" dataDxfId="9"/>
    <tableColumn id="16" xr3:uid="{00000000-0010-0000-0000-000010000000}" name="PAP" dataDxfId="8"/>
    <tableColumn id="17" xr3:uid="{00000000-0010-0000-0000-000011000000}" name="PAP RSS Feed URL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H196" totalsRowShown="0" headerRowDxfId="27" headerRowBorderDxfId="37" tableBorderDxfId="38" totalsRowBorderDxfId="36" headerRowCellStyle="Normal">
  <autoFilter ref="A1:H196" xr:uid="{00000000-0009-0000-0100-000003000000}"/>
  <tableColumns count="8">
    <tableColumn id="1" xr3:uid="{00000000-0010-0000-0200-000001000000}" name="Book Title" dataDxfId="35"/>
    <tableColumn id="2" xr3:uid="{00000000-0010-0000-0200-000002000000}" name="Beginning Date" dataDxfId="34" totalsRowDxfId="39" dataCellStyle="Normal" totalsRowCellStyle="Normal"/>
    <tableColumn id="3" xr3:uid="{00000000-0010-0000-0200-000003000000}" name="ISBN-13" dataDxfId="33"/>
    <tableColumn id="4" xr3:uid="{00000000-0010-0000-0200-000004000000}" name="ISBN-10" dataDxfId="32"/>
    <tableColumn id="5" xr3:uid="{00000000-0010-0000-0200-000005000000}" name="Publisher" dataDxfId="31"/>
    <tableColumn id="6" xr3:uid="{00000000-0010-0000-0200-000006000000}" name="Edition" dataDxfId="30"/>
    <tableColumn id="7" xr3:uid="{00000000-0010-0000-0200-000007000000}" name="Jumpstart" dataDxfId="29" dataCellStyle="Hyperlink" totalsRowCellStyle="Hyperlink"/>
    <tableColumn id="8" xr3:uid="{00000000-0010-0000-0200-000008000000}" name="OfferedOn" dataDxfId="2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B7" totalsRowShown="0" headerRowDxfId="0" headerRowBorderDxfId="4" tableBorderDxfId="5" totalsRowBorderDxfId="3" headerRowCellStyle="Normal">
  <autoFilter ref="A1:B7" xr:uid="{00000000-0009-0000-0100-000004000000}"/>
  <tableColumns count="2">
    <tableColumn id="1" xr3:uid="{00000000-0010-0000-0300-000001000000}" name="Title" dataDxfId="2"/>
    <tableColumn id="2" xr3:uid="{00000000-0010-0000-0300-000002000000}" name="Jumpstart" dataDxfId="1" dataCellStyle="Hyperlink" totalsRowCellStyle="Hyper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Q223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64.42578125" bestFit="1" customWidth="1"/>
    <col min="2" max="3" width="9.85546875" bestFit="1" customWidth="1"/>
    <col min="4" max="4" width="87.28515625" bestFit="1" customWidth="1"/>
    <col min="5" max="5" width="16.85546875" bestFit="1" customWidth="1"/>
    <col min="6" max="6" width="19.85546875" bestFit="1" customWidth="1"/>
    <col min="7" max="7" width="20.28515625" bestFit="1" customWidth="1"/>
    <col min="8" max="8" width="16.140625" bestFit="1" customWidth="1"/>
    <col min="9" max="9" width="13.5703125" bestFit="1" customWidth="1"/>
    <col min="10" max="10" width="47.5703125" bestFit="1" customWidth="1"/>
    <col min="11" max="11" width="25.7109375" bestFit="1" customWidth="1"/>
    <col min="12" max="12" width="25.28515625" bestFit="1" customWidth="1"/>
    <col min="13" max="13" width="104" bestFit="1" customWidth="1"/>
    <col min="14" max="14" width="12.85546875" bestFit="1" customWidth="1"/>
    <col min="15" max="15" width="53.42578125" bestFit="1" customWidth="1"/>
    <col min="16" max="16" width="6.85546875" bestFit="1" customWidth="1"/>
    <col min="17" max="17" width="50.140625" bestFit="1" customWidth="1"/>
  </cols>
  <sheetData>
    <row r="1" spans="1:17" x14ac:dyDescent="0.25">
      <c r="A1" s="1" t="s">
        <v>1554</v>
      </c>
      <c r="B1" s="2" t="s">
        <v>1023</v>
      </c>
      <c r="C1" s="2" t="s">
        <v>592</v>
      </c>
      <c r="D1" s="2" t="s">
        <v>1224</v>
      </c>
      <c r="E1" s="2" t="s">
        <v>714</v>
      </c>
      <c r="F1" s="2" t="s">
        <v>1294</v>
      </c>
      <c r="G1" s="2" t="s">
        <v>375</v>
      </c>
      <c r="H1" s="2" t="s">
        <v>1290</v>
      </c>
      <c r="I1" s="2" t="s">
        <v>1614</v>
      </c>
      <c r="J1" s="2" t="s">
        <v>1561</v>
      </c>
      <c r="K1" s="2" t="s">
        <v>873</v>
      </c>
      <c r="L1" s="2" t="s">
        <v>581</v>
      </c>
      <c r="M1" s="2" t="s">
        <v>1503</v>
      </c>
      <c r="N1" s="2" t="s">
        <v>930</v>
      </c>
      <c r="O1" s="2" t="s">
        <v>1357</v>
      </c>
      <c r="P1" s="2" t="s">
        <v>124</v>
      </c>
      <c r="Q1" s="3" t="s">
        <v>233</v>
      </c>
    </row>
    <row r="2" spans="1:17" x14ac:dyDescent="0.25">
      <c r="A2" s="4" t="s">
        <v>933</v>
      </c>
      <c r="B2" s="6" t="s">
        <v>981</v>
      </c>
      <c r="C2" s="6" t="s">
        <v>1580</v>
      </c>
      <c r="D2" s="6" t="s">
        <v>256</v>
      </c>
      <c r="E2" s="5">
        <v>44137</v>
      </c>
      <c r="F2" s="6">
        <v>1</v>
      </c>
      <c r="G2" s="6">
        <v>1</v>
      </c>
      <c r="H2" s="6">
        <v>9</v>
      </c>
      <c r="I2" s="6">
        <v>12</v>
      </c>
      <c r="J2" s="6" t="s">
        <v>1382</v>
      </c>
      <c r="K2" s="6" t="s">
        <v>1367</v>
      </c>
      <c r="L2" s="6" t="s">
        <v>704</v>
      </c>
      <c r="M2" s="7" t="str">
        <f>HYPERLINK("http://ovidsp.ovid.com/ovidweb.cgi?T=JS&amp;NEWS=n&amp;CSC=Y&amp;PAGE=toc&amp;D=yrovft&amp;AN=01720097-000000000-00000","http://ovidsp.ovid.com/ovidweb.cgi?T=JS&amp;NEWS=n&amp;CSC=Y&amp;PAGE=toc&amp;D=yrovft&amp;AN=01720097-000000000-00000")</f>
        <v>http://ovidsp.ovid.com/ovidweb.cgi?T=JS&amp;NEWS=n&amp;CSC=Y&amp;PAGE=toc&amp;D=yrovft&amp;AN=01720097-000000000-00000</v>
      </c>
      <c r="N2" s="6" t="s">
        <v>1117</v>
      </c>
      <c r="O2" s="6" t="s">
        <v>1626</v>
      </c>
      <c r="P2" s="6" t="b">
        <v>1</v>
      </c>
      <c r="Q2" s="8" t="s">
        <v>329</v>
      </c>
    </row>
    <row r="3" spans="1:17" x14ac:dyDescent="0.25">
      <c r="A3" s="4" t="s">
        <v>891</v>
      </c>
      <c r="B3" s="6" t="s">
        <v>1580</v>
      </c>
      <c r="C3" s="6" t="s">
        <v>1580</v>
      </c>
      <c r="D3" s="6" t="s">
        <v>256</v>
      </c>
      <c r="E3" s="5">
        <v>44137</v>
      </c>
      <c r="F3" s="6">
        <v>10</v>
      </c>
      <c r="G3" s="6">
        <v>1</v>
      </c>
      <c r="H3" s="6">
        <v>14</v>
      </c>
      <c r="I3" s="6">
        <v>12</v>
      </c>
      <c r="J3" s="6" t="s">
        <v>61</v>
      </c>
      <c r="K3" s="6" t="s">
        <v>1354</v>
      </c>
      <c r="L3" s="6" t="s">
        <v>739</v>
      </c>
      <c r="M3" s="7" t="str">
        <f>HYPERLINK("http://ovidsp.ovid.com/ovidweb.cgi?T=JS&amp;NEWS=n&amp;CSC=Y&amp;PAGE=toc&amp;D=yrovft&amp;AN=02054229-000000000-00000","http://ovidsp.ovid.com/ovidweb.cgi?T=JS&amp;NEWS=n&amp;CSC=Y&amp;PAGE=toc&amp;D=yrovft&amp;AN=02054229-000000000-00000")</f>
        <v>http://ovidsp.ovid.com/ovidweb.cgi?T=JS&amp;NEWS=n&amp;CSC=Y&amp;PAGE=toc&amp;D=yrovft&amp;AN=02054229-000000000-00000</v>
      </c>
      <c r="N3" s="6" t="s">
        <v>1117</v>
      </c>
      <c r="O3" s="6" t="s">
        <v>674</v>
      </c>
      <c r="P3" s="6" t="b">
        <v>0</v>
      </c>
      <c r="Q3" s="8" t="s">
        <v>1117</v>
      </c>
    </row>
    <row r="4" spans="1:17" x14ac:dyDescent="0.25">
      <c r="A4" s="4" t="s">
        <v>713</v>
      </c>
      <c r="B4" s="6" t="s">
        <v>1498</v>
      </c>
      <c r="C4" s="6" t="s">
        <v>1117</v>
      </c>
      <c r="D4" s="6" t="s">
        <v>256</v>
      </c>
      <c r="E4" s="5">
        <v>44137</v>
      </c>
      <c r="F4" s="6">
        <v>90</v>
      </c>
      <c r="G4" s="6">
        <v>1</v>
      </c>
      <c r="H4" s="6">
        <v>95</v>
      </c>
      <c r="I4" s="6">
        <v>10</v>
      </c>
      <c r="J4" s="6" t="s">
        <v>1189</v>
      </c>
      <c r="K4" s="6" t="s">
        <v>1349</v>
      </c>
      <c r="L4" s="6" t="s">
        <v>739</v>
      </c>
      <c r="M4" s="7" t="str">
        <f>HYPERLINK("http://ovidsp.ovid.com/ovidweb.cgi?T=JS&amp;NEWS=n&amp;CSC=Y&amp;PAGE=toc&amp;D=yrovft&amp;AN=00001888-000000000-00000","http://ovidsp.ovid.com/ovidweb.cgi?T=JS&amp;NEWS=n&amp;CSC=Y&amp;PAGE=toc&amp;D=yrovft&amp;AN=00001888-000000000-00000")</f>
        <v>http://ovidsp.ovid.com/ovidweb.cgi?T=JS&amp;NEWS=n&amp;CSC=Y&amp;PAGE=toc&amp;D=yrovft&amp;AN=00001888-000000000-00000</v>
      </c>
      <c r="N4" s="6" t="s">
        <v>1117</v>
      </c>
      <c r="O4" s="6" t="s">
        <v>1040</v>
      </c>
      <c r="P4" s="6" t="b">
        <v>0</v>
      </c>
      <c r="Q4" s="8" t="s">
        <v>1117</v>
      </c>
    </row>
    <row r="5" spans="1:17" x14ac:dyDescent="0.25">
      <c r="A5" s="4" t="s">
        <v>972</v>
      </c>
      <c r="B5" s="6" t="s">
        <v>957</v>
      </c>
      <c r="C5" s="6" t="s">
        <v>937</v>
      </c>
      <c r="D5" s="6" t="s">
        <v>256</v>
      </c>
      <c r="E5" s="5">
        <v>44137</v>
      </c>
      <c r="F5" s="6">
        <v>19</v>
      </c>
      <c r="G5" s="6">
        <v>1</v>
      </c>
      <c r="H5" s="6">
        <v>24</v>
      </c>
      <c r="I5" s="6">
        <v>5</v>
      </c>
      <c r="J5" s="6" t="s">
        <v>1616</v>
      </c>
      <c r="K5" s="6" t="s">
        <v>1528</v>
      </c>
      <c r="L5" s="6" t="s">
        <v>452</v>
      </c>
      <c r="M5" s="7" t="str">
        <f>HYPERLINK("http://ovidsp.ovid.com/ovidweb.cgi?T=JS&amp;NEWS=n&amp;CSC=Y&amp;PAGE=toc&amp;D=yrovft&amp;AN=00135124-000000000-00000","http://ovidsp.ovid.com/ovidweb.cgi?T=JS&amp;NEWS=n&amp;CSC=Y&amp;PAGE=toc&amp;D=yrovft&amp;AN=00135124-000000000-00000")</f>
        <v>http://ovidsp.ovid.com/ovidweb.cgi?T=JS&amp;NEWS=n&amp;CSC=Y&amp;PAGE=toc&amp;D=yrovft&amp;AN=00135124-000000000-00000</v>
      </c>
      <c r="N5" s="6" t="s">
        <v>1117</v>
      </c>
      <c r="O5" s="6" t="s">
        <v>1563</v>
      </c>
      <c r="P5" s="6" t="b">
        <v>0</v>
      </c>
      <c r="Q5" s="8" t="s">
        <v>1117</v>
      </c>
    </row>
    <row r="6" spans="1:17" x14ac:dyDescent="0.25">
      <c r="A6" s="4" t="s">
        <v>1248</v>
      </c>
      <c r="B6" s="6" t="s">
        <v>195</v>
      </c>
      <c r="C6" s="6" t="s">
        <v>1282</v>
      </c>
      <c r="D6" s="6" t="s">
        <v>256</v>
      </c>
      <c r="E6" s="5">
        <v>44137</v>
      </c>
      <c r="F6" s="6">
        <v>14</v>
      </c>
      <c r="G6" s="6">
        <v>1</v>
      </c>
      <c r="H6" s="6">
        <v>19</v>
      </c>
      <c r="I6" s="6">
        <v>3</v>
      </c>
      <c r="J6" s="6" t="s">
        <v>1231</v>
      </c>
      <c r="K6" s="6" t="s">
        <v>365</v>
      </c>
      <c r="L6" s="6" t="s">
        <v>553</v>
      </c>
      <c r="M6" s="7" t="str">
        <f>HYPERLINK("http://ovidsp.ovid.com/ovidweb.cgi?T=JS&amp;NEWS=n&amp;CSC=Y&amp;PAGE=toc&amp;D=yrovft&amp;AN=00132576-000000000-00000","http://ovidsp.ovid.com/ovidweb.cgi?T=JS&amp;NEWS=n&amp;CSC=Y&amp;PAGE=toc&amp;D=yrovft&amp;AN=00132576-000000000-00000")</f>
        <v>http://ovidsp.ovid.com/ovidweb.cgi?T=JS&amp;NEWS=n&amp;CSC=Y&amp;PAGE=toc&amp;D=yrovft&amp;AN=00132576-000000000-00000</v>
      </c>
      <c r="N6" s="6" t="s">
        <v>1117</v>
      </c>
      <c r="O6" s="6" t="s">
        <v>1022</v>
      </c>
      <c r="P6" s="6" t="b">
        <v>1</v>
      </c>
      <c r="Q6" s="8" t="s">
        <v>1468</v>
      </c>
    </row>
    <row r="7" spans="1:17" x14ac:dyDescent="0.25">
      <c r="A7" s="4" t="s">
        <v>97</v>
      </c>
      <c r="B7" s="6" t="s">
        <v>740</v>
      </c>
      <c r="C7" s="6" t="s">
        <v>1117</v>
      </c>
      <c r="D7" s="6" t="s">
        <v>256</v>
      </c>
      <c r="E7" s="5">
        <v>44137</v>
      </c>
      <c r="F7" s="6">
        <v>37</v>
      </c>
      <c r="G7" s="6">
        <v>1</v>
      </c>
      <c r="H7" s="6">
        <v>42</v>
      </c>
      <c r="I7" s="6">
        <v>3</v>
      </c>
      <c r="J7" s="6" t="s">
        <v>1011</v>
      </c>
      <c r="K7" s="6" t="s">
        <v>1671</v>
      </c>
      <c r="L7" s="6" t="s">
        <v>1318</v>
      </c>
      <c r="M7" s="7" t="str">
        <f>HYPERLINK("http://ovidsp.ovid.com/ovidweb.cgi?T=JS&amp;NEWS=n&amp;CSC=Y&amp;PAGE=toc&amp;D=yrovft&amp;AN=01261775-000000000-00000","http://ovidsp.ovid.com/ovidweb.cgi?T=JS&amp;NEWS=n&amp;CSC=Y&amp;PAGE=toc&amp;D=yrovft&amp;AN=01261775-000000000-00000")</f>
        <v>http://ovidsp.ovid.com/ovidweb.cgi?T=JS&amp;NEWS=n&amp;CSC=Y&amp;PAGE=toc&amp;D=yrovft&amp;AN=01261775-000000000-00000</v>
      </c>
      <c r="N7" s="6" t="s">
        <v>1117</v>
      </c>
      <c r="O7" s="6" t="s">
        <v>850</v>
      </c>
      <c r="P7" s="6" t="b">
        <v>0</v>
      </c>
      <c r="Q7" s="8" t="s">
        <v>1117</v>
      </c>
    </row>
    <row r="8" spans="1:17" x14ac:dyDescent="0.25">
      <c r="A8" s="4" t="s">
        <v>1118</v>
      </c>
      <c r="B8" s="6" t="s">
        <v>226</v>
      </c>
      <c r="C8" s="6" t="s">
        <v>346</v>
      </c>
      <c r="D8" s="6" t="s">
        <v>256</v>
      </c>
      <c r="E8" s="5">
        <v>44137</v>
      </c>
      <c r="F8" s="6">
        <v>22</v>
      </c>
      <c r="G8" s="6">
        <v>1</v>
      </c>
      <c r="H8" s="6">
        <v>27</v>
      </c>
      <c r="I8" s="6">
        <v>6</v>
      </c>
      <c r="J8" s="6" t="s">
        <v>565</v>
      </c>
      <c r="K8" s="6" t="s">
        <v>1349</v>
      </c>
      <c r="L8" s="6" t="s">
        <v>1046</v>
      </c>
      <c r="M8" s="7" t="str">
        <f>HYPERLINK("http://ovidsp.ovid.com/ovidweb.cgi?T=JS&amp;NEWS=n&amp;CSC=Y&amp;PAGE=toc&amp;D=yrovft&amp;AN=00125480-000000000-00000","http://ovidsp.ovid.com/ovidweb.cgi?T=JS&amp;NEWS=n&amp;CSC=Y&amp;PAGE=toc&amp;D=yrovft&amp;AN=00125480-000000000-00000")</f>
        <v>http://ovidsp.ovid.com/ovidweb.cgi?T=JS&amp;NEWS=n&amp;CSC=Y&amp;PAGE=toc&amp;D=yrovft&amp;AN=00125480-000000000-00000</v>
      </c>
      <c r="N8" s="6" t="s">
        <v>1117</v>
      </c>
      <c r="O8" s="6" t="s">
        <v>1012</v>
      </c>
      <c r="P8" s="6" t="b">
        <v>1</v>
      </c>
      <c r="Q8" s="8" t="s">
        <v>109</v>
      </c>
    </row>
    <row r="9" spans="1:17" x14ac:dyDescent="0.25">
      <c r="A9" s="4" t="s">
        <v>49</v>
      </c>
      <c r="B9" s="6" t="s">
        <v>852</v>
      </c>
      <c r="C9" s="6" t="s">
        <v>1117</v>
      </c>
      <c r="D9" s="6" t="s">
        <v>256</v>
      </c>
      <c r="E9" s="5">
        <v>44137</v>
      </c>
      <c r="F9" s="6">
        <v>38</v>
      </c>
      <c r="G9" s="6">
        <v>1</v>
      </c>
      <c r="H9" s="6">
        <v>43</v>
      </c>
      <c r="I9" s="6">
        <v>3</v>
      </c>
      <c r="J9" s="6" t="s">
        <v>1011</v>
      </c>
      <c r="K9" s="6" t="s">
        <v>1671</v>
      </c>
      <c r="L9" s="6" t="s">
        <v>1318</v>
      </c>
      <c r="M9" s="7" t="str">
        <f>HYPERLINK("http://ovidsp.ovid.com/ovidweb.cgi?T=JS&amp;NEWS=n&amp;CSC=Y&amp;PAGE=toc&amp;D=yrovft&amp;AN=00012272-000000000-00000","http://ovidsp.ovid.com/ovidweb.cgi?T=JS&amp;NEWS=n&amp;CSC=Y&amp;PAGE=toc&amp;D=yrovft&amp;AN=00012272-000000000-00000")</f>
        <v>http://ovidsp.ovid.com/ovidweb.cgi?T=JS&amp;NEWS=n&amp;CSC=Y&amp;PAGE=toc&amp;D=yrovft&amp;AN=00012272-000000000-00000</v>
      </c>
      <c r="N9" s="6" t="s">
        <v>1117</v>
      </c>
      <c r="O9" s="6" t="s">
        <v>994</v>
      </c>
      <c r="P9" s="6" t="b">
        <v>1</v>
      </c>
      <c r="Q9" s="8" t="s">
        <v>690</v>
      </c>
    </row>
    <row r="10" spans="1:17" x14ac:dyDescent="0.25">
      <c r="A10" s="4" t="s">
        <v>1456</v>
      </c>
      <c r="B10" s="6" t="s">
        <v>578</v>
      </c>
      <c r="C10" s="6" t="s">
        <v>1117</v>
      </c>
      <c r="D10" s="6" t="s">
        <v>256</v>
      </c>
      <c r="E10" s="5">
        <v>44137</v>
      </c>
      <c r="F10" s="6">
        <v>28</v>
      </c>
      <c r="G10" s="6">
        <v>1</v>
      </c>
      <c r="H10" s="6">
        <v>33</v>
      </c>
      <c r="I10" s="6">
        <v>11</v>
      </c>
      <c r="J10" s="6" t="s">
        <v>565</v>
      </c>
      <c r="K10" s="6" t="s">
        <v>1349</v>
      </c>
      <c r="L10" s="6" t="s">
        <v>1046</v>
      </c>
      <c r="M10" s="7" t="str">
        <f>HYPERLINK("http://ovidsp.ovid.com/ovidweb.cgi?T=JS&amp;NEWS=n&amp;CSC=Y&amp;PAGE=toc&amp;D=yrovft&amp;AN=00129334-000000000-00000","http://ovidsp.ovid.com/ovidweb.cgi?T=JS&amp;NEWS=n&amp;CSC=Y&amp;PAGE=toc&amp;D=yrovft&amp;AN=00129334-000000000-00000")</f>
        <v>http://ovidsp.ovid.com/ovidweb.cgi?T=JS&amp;NEWS=n&amp;CSC=Y&amp;PAGE=toc&amp;D=yrovft&amp;AN=00129334-000000000-00000</v>
      </c>
      <c r="N10" s="6" t="s">
        <v>1117</v>
      </c>
      <c r="O10" s="6" t="s">
        <v>1322</v>
      </c>
      <c r="P10" s="6" t="b">
        <v>1</v>
      </c>
      <c r="Q10" s="8" t="s">
        <v>535</v>
      </c>
    </row>
    <row r="11" spans="1:17" x14ac:dyDescent="0.25">
      <c r="A11" s="4" t="s">
        <v>528</v>
      </c>
      <c r="B11" s="6" t="s">
        <v>735</v>
      </c>
      <c r="C11" s="6" t="s">
        <v>1117</v>
      </c>
      <c r="D11" s="6" t="s">
        <v>256</v>
      </c>
      <c r="E11" s="5">
        <v>44137</v>
      </c>
      <c r="F11" s="6">
        <v>290</v>
      </c>
      <c r="G11" s="6">
        <v>1</v>
      </c>
      <c r="H11" s="6">
        <v>324</v>
      </c>
      <c r="I11" s="6">
        <v>1</v>
      </c>
      <c r="J11" s="6" t="s">
        <v>1686</v>
      </c>
      <c r="K11" s="6" t="s">
        <v>210</v>
      </c>
      <c r="L11" s="6" t="s">
        <v>739</v>
      </c>
      <c r="M11" s="7" t="str">
        <f>HYPERLINK("http://ovidsp.ovid.com/ovidweb.cgi?T=JS&amp;NEWS=n&amp;CSC=Y&amp;PAGE=toc&amp;D=yrovft&amp;AN=00012995-000000000-00000","http://ovidsp.ovid.com/ovidweb.cgi?T=JS&amp;NEWS=n&amp;CSC=Y&amp;PAGE=toc&amp;D=yrovft&amp;AN=00012995-000000000-00000")</f>
        <v>http://ovidsp.ovid.com/ovidweb.cgi?T=JS&amp;NEWS=n&amp;CSC=Y&amp;PAGE=toc&amp;D=yrovft&amp;AN=00012995-000000000-00000</v>
      </c>
      <c r="N11" s="6" t="s">
        <v>1117</v>
      </c>
      <c r="O11" s="6" t="s">
        <v>14</v>
      </c>
      <c r="P11" s="6" t="b">
        <v>0</v>
      </c>
      <c r="Q11" s="8" t="s">
        <v>1117</v>
      </c>
    </row>
    <row r="12" spans="1:17" x14ac:dyDescent="0.25">
      <c r="A12" s="4" t="s">
        <v>833</v>
      </c>
      <c r="B12" s="6" t="s">
        <v>22</v>
      </c>
      <c r="C12" s="6" t="s">
        <v>751</v>
      </c>
      <c r="D12" s="6" t="s">
        <v>256</v>
      </c>
      <c r="E12" s="5">
        <v>44137</v>
      </c>
      <c r="F12" s="6">
        <v>29</v>
      </c>
      <c r="G12" s="6">
        <v>1</v>
      </c>
      <c r="H12" s="6">
        <v>34</v>
      </c>
      <c r="I12" s="6">
        <v>13</v>
      </c>
      <c r="J12" s="6" t="s">
        <v>234</v>
      </c>
      <c r="K12" s="6" t="s">
        <v>508</v>
      </c>
      <c r="L12" s="6" t="s">
        <v>780</v>
      </c>
      <c r="M12" s="7" t="str">
        <f>HYPERLINK("http://ovidsp.ovid.com/ovidweb.cgi?T=JS&amp;NEWS=n&amp;CSC=Y&amp;PAGE=toc&amp;D=yrovft&amp;AN=00002030-000000000-00000","http://ovidsp.ovid.com/ovidweb.cgi?T=JS&amp;NEWS=n&amp;CSC=Y&amp;PAGE=toc&amp;D=yrovft&amp;AN=00002030-000000000-00000")</f>
        <v>http://ovidsp.ovid.com/ovidweb.cgi?T=JS&amp;NEWS=n&amp;CSC=Y&amp;PAGE=toc&amp;D=yrovft&amp;AN=00002030-000000000-00000</v>
      </c>
      <c r="N12" s="6" t="s">
        <v>1117</v>
      </c>
      <c r="O12" s="6" t="s">
        <v>1210</v>
      </c>
      <c r="P12" s="6" t="b">
        <v>1</v>
      </c>
      <c r="Q12" s="8" t="s">
        <v>196</v>
      </c>
    </row>
    <row r="13" spans="1:17" x14ac:dyDescent="0.25">
      <c r="A13" s="4" t="s">
        <v>812</v>
      </c>
      <c r="B13" s="6" t="s">
        <v>1358</v>
      </c>
      <c r="C13" s="6" t="s">
        <v>1117</v>
      </c>
      <c r="D13" s="6" t="s">
        <v>256</v>
      </c>
      <c r="E13" s="5">
        <v>44137</v>
      </c>
      <c r="F13" s="6">
        <v>115</v>
      </c>
      <c r="G13" s="6">
        <v>1</v>
      </c>
      <c r="H13" s="6">
        <v>120</v>
      </c>
      <c r="I13" s="6">
        <v>10</v>
      </c>
      <c r="J13" s="6" t="s">
        <v>1189</v>
      </c>
      <c r="K13" s="6" t="s">
        <v>1349</v>
      </c>
      <c r="L13" s="6" t="s">
        <v>739</v>
      </c>
      <c r="M13" s="7" t="str">
        <f>HYPERLINK("http://ovidsp.ovid.com/ovidweb.cgi?T=JS&amp;NEWS=n&amp;CSC=Y&amp;PAGE=toc&amp;D=yrovft&amp;AN=00000446-000000000-00000","http://ovidsp.ovid.com/ovidweb.cgi?T=JS&amp;NEWS=n&amp;CSC=Y&amp;PAGE=toc&amp;D=yrovft&amp;AN=00000446-000000000-00000")</f>
        <v>http://ovidsp.ovid.com/ovidweb.cgi?T=JS&amp;NEWS=n&amp;CSC=Y&amp;PAGE=toc&amp;D=yrovft&amp;AN=00000446-000000000-00000</v>
      </c>
      <c r="N13" s="6" t="s">
        <v>1117</v>
      </c>
      <c r="O13" s="6" t="s">
        <v>372</v>
      </c>
      <c r="P13" s="6" t="b">
        <v>0</v>
      </c>
      <c r="Q13" s="8" t="s">
        <v>1117</v>
      </c>
    </row>
    <row r="14" spans="1:17" x14ac:dyDescent="0.25">
      <c r="A14" s="4" t="s">
        <v>180</v>
      </c>
      <c r="B14" s="6" t="s">
        <v>580</v>
      </c>
      <c r="C14" s="6" t="s">
        <v>1609</v>
      </c>
      <c r="D14" s="6" t="s">
        <v>256</v>
      </c>
      <c r="E14" s="5">
        <v>44137</v>
      </c>
      <c r="F14" s="6">
        <v>21</v>
      </c>
      <c r="G14" s="6">
        <v>1</v>
      </c>
      <c r="H14" s="6">
        <v>25</v>
      </c>
      <c r="I14" s="6">
        <v>5</v>
      </c>
      <c r="J14" s="6" t="s">
        <v>1088</v>
      </c>
      <c r="K14" s="6" t="s">
        <v>960</v>
      </c>
      <c r="L14" s="6" t="s">
        <v>452</v>
      </c>
      <c r="M14" s="7" t="str">
        <f>HYPERLINK("http://ovidsp.ovid.com/ovidweb.cgi?T=JS&amp;NEWS=n&amp;CSC=Y&amp;PAGE=toc&amp;D=yrovft&amp;AN=01929425-000000000-00000","http://ovidsp.ovid.com/ovidweb.cgi?T=JS&amp;NEWS=n&amp;CSC=Y&amp;PAGE=toc&amp;D=yrovft&amp;AN=01929425-000000000-00000")</f>
        <v>http://ovidsp.ovid.com/ovidweb.cgi?T=JS&amp;NEWS=n&amp;CSC=Y&amp;PAGE=toc&amp;D=yrovft&amp;AN=01929425-000000000-00000</v>
      </c>
      <c r="N14" s="6" t="s">
        <v>1117</v>
      </c>
      <c r="O14" s="6" t="s">
        <v>794</v>
      </c>
      <c r="P14" s="6" t="b">
        <v>1</v>
      </c>
      <c r="Q14" s="8" t="s">
        <v>1373</v>
      </c>
    </row>
    <row r="15" spans="1:17" x14ac:dyDescent="0.25">
      <c r="A15" s="4" t="s">
        <v>290</v>
      </c>
      <c r="B15" s="6" t="s">
        <v>169</v>
      </c>
      <c r="C15" s="6" t="s">
        <v>1117</v>
      </c>
      <c r="D15" s="6" t="s">
        <v>256</v>
      </c>
      <c r="E15" s="5">
        <v>44137</v>
      </c>
      <c r="F15" s="6">
        <v>29</v>
      </c>
      <c r="G15" s="6">
        <v>1</v>
      </c>
      <c r="H15" s="6">
        <v>34</v>
      </c>
      <c r="I15" s="6">
        <v>3</v>
      </c>
      <c r="J15" s="6" t="s">
        <v>347</v>
      </c>
      <c r="K15" s="6" t="s">
        <v>1275</v>
      </c>
      <c r="L15" s="6" t="s">
        <v>367</v>
      </c>
      <c r="M15" s="7" t="str">
        <f>HYPERLINK("http://ovidsp.ovid.com/ovidweb.cgi?T=JS&amp;NEWS=n&amp;CSC=Y&amp;PAGE=toc&amp;D=yrovft&amp;AN=00002093-000000000-00000","http://ovidsp.ovid.com/ovidweb.cgi?T=JS&amp;NEWS=n&amp;CSC=Y&amp;PAGE=toc&amp;D=yrovft&amp;AN=00002093-000000000-00000")</f>
        <v>http://ovidsp.ovid.com/ovidweb.cgi?T=JS&amp;NEWS=n&amp;CSC=Y&amp;PAGE=toc&amp;D=yrovft&amp;AN=00002093-000000000-00000</v>
      </c>
      <c r="N15" s="6" t="s">
        <v>1117</v>
      </c>
      <c r="O15" s="6" t="s">
        <v>1669</v>
      </c>
      <c r="P15" s="6" t="b">
        <v>1</v>
      </c>
      <c r="Q15" s="8" t="s">
        <v>1434</v>
      </c>
    </row>
    <row r="16" spans="1:17" x14ac:dyDescent="0.25">
      <c r="A16" s="4" t="s">
        <v>790</v>
      </c>
      <c r="B16" s="6" t="s">
        <v>640</v>
      </c>
      <c r="C16" s="6" t="s">
        <v>285</v>
      </c>
      <c r="D16" s="6" t="s">
        <v>256</v>
      </c>
      <c r="E16" s="5">
        <v>44137</v>
      </c>
      <c r="F16" s="6">
        <v>38</v>
      </c>
      <c r="G16" s="6">
        <v>1</v>
      </c>
      <c r="H16" s="6">
        <v>43</v>
      </c>
      <c r="I16" s="6">
        <v>11</v>
      </c>
      <c r="J16" s="6" t="s">
        <v>119</v>
      </c>
      <c r="K16" s="6" t="s">
        <v>210</v>
      </c>
      <c r="L16" s="6" t="s">
        <v>1046</v>
      </c>
      <c r="M16" s="7" t="str">
        <f>HYPERLINK("http://ovidsp.ovid.com/ovidweb.cgi?T=JS&amp;NEWS=n&amp;CSC=Y&amp;PAGE=toc&amp;D=yrovft&amp;AN=00000421-000000000-00000","http://ovidsp.ovid.com/ovidweb.cgi?T=JS&amp;NEWS=n&amp;CSC=Y&amp;PAGE=toc&amp;D=yrovft&amp;AN=00000421-000000000-00000")</f>
        <v>http://ovidsp.ovid.com/ovidweb.cgi?T=JS&amp;NEWS=n&amp;CSC=Y&amp;PAGE=toc&amp;D=yrovft&amp;AN=00000421-000000000-00000</v>
      </c>
      <c r="N16" s="6" t="s">
        <v>1117</v>
      </c>
      <c r="O16" s="6" t="s">
        <v>968</v>
      </c>
      <c r="P16" s="6" t="b">
        <v>1</v>
      </c>
      <c r="Q16" s="8" t="s">
        <v>174</v>
      </c>
    </row>
    <row r="17" spans="1:17" x14ac:dyDescent="0.25">
      <c r="A17" s="4" t="s">
        <v>1053</v>
      </c>
      <c r="B17" s="6" t="s">
        <v>276</v>
      </c>
      <c r="C17" s="6" t="s">
        <v>1481</v>
      </c>
      <c r="D17" s="6" t="s">
        <v>256</v>
      </c>
      <c r="E17" s="5">
        <v>44137</v>
      </c>
      <c r="F17" s="6">
        <v>37</v>
      </c>
      <c r="G17" s="6">
        <v>1</v>
      </c>
      <c r="H17" s="6">
        <v>42</v>
      </c>
      <c r="I17" s="6">
        <v>11</v>
      </c>
      <c r="J17" s="6" t="s">
        <v>565</v>
      </c>
      <c r="K17" s="6" t="s">
        <v>1349</v>
      </c>
      <c r="L17" s="6" t="s">
        <v>1046</v>
      </c>
      <c r="M17" s="7" t="str">
        <f>HYPERLINK("http://ovidsp.ovid.com/ovidweb.cgi?T=JS&amp;NEWS=n&amp;CSC=Y&amp;PAGE=toc&amp;D=yrovft&amp;AN=00000372-000000000-00000","http://ovidsp.ovid.com/ovidweb.cgi?T=JS&amp;NEWS=n&amp;CSC=Y&amp;PAGE=toc&amp;D=yrovft&amp;AN=00000372-000000000-00000")</f>
        <v>http://ovidsp.ovid.com/ovidweb.cgi?T=JS&amp;NEWS=n&amp;CSC=Y&amp;PAGE=toc&amp;D=yrovft&amp;AN=00000372-000000000-00000</v>
      </c>
      <c r="N17" s="6" t="s">
        <v>1117</v>
      </c>
      <c r="O17" s="6" t="s">
        <v>1182</v>
      </c>
      <c r="P17" s="6" t="b">
        <v>0</v>
      </c>
      <c r="Q17" s="8" t="s">
        <v>1117</v>
      </c>
    </row>
    <row r="18" spans="1:17" x14ac:dyDescent="0.25">
      <c r="A18" s="4" t="s">
        <v>501</v>
      </c>
      <c r="B18" s="6" t="s">
        <v>52</v>
      </c>
      <c r="C18" s="6" t="s">
        <v>1600</v>
      </c>
      <c r="D18" s="6" t="s">
        <v>256</v>
      </c>
      <c r="E18" s="5">
        <v>44137</v>
      </c>
      <c r="F18" s="6">
        <v>36</v>
      </c>
      <c r="G18" s="6">
        <v>1</v>
      </c>
      <c r="H18" s="6">
        <v>41</v>
      </c>
      <c r="I18" s="6">
        <v>3</v>
      </c>
      <c r="J18" s="6" t="s">
        <v>1231</v>
      </c>
      <c r="K18" s="6" t="s">
        <v>365</v>
      </c>
      <c r="L18" s="6" t="s">
        <v>553</v>
      </c>
      <c r="M18" s="7" t="str">
        <f>HYPERLINK("http://ovidsp.ovid.com/ovidweb.cgi?T=JS&amp;NEWS=n&amp;CSC=Y&amp;PAGE=toc&amp;D=yrovft&amp;AN=00000433-000000000-00000","http://ovidsp.ovid.com/ovidweb.cgi?T=JS&amp;NEWS=n&amp;CSC=Y&amp;PAGE=toc&amp;D=yrovft&amp;AN=00000433-000000000-00000")</f>
        <v>http://ovidsp.ovid.com/ovidweb.cgi?T=JS&amp;NEWS=n&amp;CSC=Y&amp;PAGE=toc&amp;D=yrovft&amp;AN=00000433-000000000-00000</v>
      </c>
      <c r="N18" s="6" t="s">
        <v>1117</v>
      </c>
      <c r="O18" s="6" t="s">
        <v>129</v>
      </c>
      <c r="P18" s="6" t="b">
        <v>1</v>
      </c>
      <c r="Q18" s="8" t="s">
        <v>604</v>
      </c>
    </row>
    <row r="19" spans="1:17" x14ac:dyDescent="0.25">
      <c r="A19" s="4" t="s">
        <v>335</v>
      </c>
      <c r="B19" s="6" t="s">
        <v>1452</v>
      </c>
      <c r="C19" s="6" t="s">
        <v>1560</v>
      </c>
      <c r="D19" s="6" t="s">
        <v>256</v>
      </c>
      <c r="E19" s="5">
        <v>44137</v>
      </c>
      <c r="F19" s="6">
        <v>110</v>
      </c>
      <c r="G19" s="6">
        <v>1</v>
      </c>
      <c r="H19" s="6">
        <v>115</v>
      </c>
      <c r="I19" s="6">
        <v>0</v>
      </c>
      <c r="J19" s="6" t="s">
        <v>1707</v>
      </c>
      <c r="K19" s="6" t="s">
        <v>1349</v>
      </c>
      <c r="L19" s="6" t="s">
        <v>1230</v>
      </c>
      <c r="M19" s="7" t="str">
        <f>HYPERLINK("http://ovidsp.ovid.com/ovidweb.cgi?T=JS&amp;NEWS=n&amp;CSC=Y&amp;PAGE=toc&amp;D=yrovft&amp;AN=00000434-000000000-00000","http://ovidsp.ovid.com/ovidweb.cgi?T=JS&amp;NEWS=n&amp;CSC=Y&amp;PAGE=toc&amp;D=yrovft&amp;AN=00000434-000000000-00000")</f>
        <v>http://ovidsp.ovid.com/ovidweb.cgi?T=JS&amp;NEWS=n&amp;CSC=Y&amp;PAGE=toc&amp;D=yrovft&amp;AN=00000434-000000000-00000</v>
      </c>
      <c r="N19" s="6" t="s">
        <v>1117</v>
      </c>
      <c r="O19" s="6" t="s">
        <v>1324</v>
      </c>
      <c r="P19" s="6" t="b">
        <v>1</v>
      </c>
      <c r="Q19" s="8" t="s">
        <v>798</v>
      </c>
    </row>
    <row r="20" spans="1:17" x14ac:dyDescent="0.25">
      <c r="A20" s="4" t="s">
        <v>1478</v>
      </c>
      <c r="B20" s="6" t="s">
        <v>253</v>
      </c>
      <c r="C20" s="6" t="s">
        <v>598</v>
      </c>
      <c r="D20" s="6" t="s">
        <v>256</v>
      </c>
      <c r="E20" s="5">
        <v>44137</v>
      </c>
      <c r="F20" s="6">
        <v>94</v>
      </c>
      <c r="G20" s="6">
        <v>1</v>
      </c>
      <c r="H20" s="6">
        <v>99</v>
      </c>
      <c r="I20" s="6">
        <v>11</v>
      </c>
      <c r="J20" s="6" t="s">
        <v>565</v>
      </c>
      <c r="K20" s="6" t="s">
        <v>1349</v>
      </c>
      <c r="L20" s="6" t="s">
        <v>1046</v>
      </c>
      <c r="M20" s="7" t="str">
        <f>HYPERLINK("http://ovidsp.ovid.com/ovidweb.cgi?T=JS&amp;NEWS=n&amp;CSC=Y&amp;PAGE=toc&amp;D=yrovft&amp;AN=00002060-000000000-00000","http://ovidsp.ovid.com/ovidweb.cgi?T=JS&amp;NEWS=n&amp;CSC=Y&amp;PAGE=toc&amp;D=yrovft&amp;AN=00002060-000000000-00000")</f>
        <v>http://ovidsp.ovid.com/ovidweb.cgi?T=JS&amp;NEWS=n&amp;CSC=Y&amp;PAGE=toc&amp;D=yrovft&amp;AN=00002060-000000000-00000</v>
      </c>
      <c r="N20" s="6" t="s">
        <v>1117</v>
      </c>
      <c r="O20" s="6" t="s">
        <v>590</v>
      </c>
      <c r="P20" s="6" t="b">
        <v>1</v>
      </c>
      <c r="Q20" s="8" t="s">
        <v>122</v>
      </c>
    </row>
    <row r="21" spans="1:17" x14ac:dyDescent="0.25">
      <c r="A21" s="4" t="s">
        <v>409</v>
      </c>
      <c r="B21" s="6" t="s">
        <v>72</v>
      </c>
      <c r="C21" s="6" t="s">
        <v>330</v>
      </c>
      <c r="D21" s="6" t="s">
        <v>256</v>
      </c>
      <c r="E21" s="5">
        <v>44137</v>
      </c>
      <c r="F21" s="6">
        <v>39</v>
      </c>
      <c r="G21" s="6">
        <v>1</v>
      </c>
      <c r="H21" s="6">
        <v>44</v>
      </c>
      <c r="I21" s="6">
        <v>11</v>
      </c>
      <c r="J21" s="6" t="s">
        <v>565</v>
      </c>
      <c r="K21" s="6" t="s">
        <v>1349</v>
      </c>
      <c r="L21" s="6" t="s">
        <v>1046</v>
      </c>
      <c r="M21" s="7" t="str">
        <f>HYPERLINK("http://ovidsp.ovid.com/ovidweb.cgi?T=JS&amp;NEWS=n&amp;CSC=Y&amp;PAGE=toc&amp;D=yrovft&amp;AN=00000478-000000000-00000","http://ovidsp.ovid.com/ovidweb.cgi?T=JS&amp;NEWS=n&amp;CSC=Y&amp;PAGE=toc&amp;D=yrovft&amp;AN=00000478-000000000-00000")</f>
        <v>http://ovidsp.ovid.com/ovidweb.cgi?T=JS&amp;NEWS=n&amp;CSC=Y&amp;PAGE=toc&amp;D=yrovft&amp;AN=00000478-000000000-00000</v>
      </c>
      <c r="N21" s="6" t="s">
        <v>1117</v>
      </c>
      <c r="O21" s="6" t="s">
        <v>307</v>
      </c>
      <c r="P21" s="6" t="b">
        <v>1</v>
      </c>
      <c r="Q21" s="8" t="s">
        <v>380</v>
      </c>
    </row>
    <row r="22" spans="1:17" x14ac:dyDescent="0.25">
      <c r="A22" s="4" t="s">
        <v>859</v>
      </c>
      <c r="B22" s="6" t="s">
        <v>834</v>
      </c>
      <c r="C22" s="6" t="s">
        <v>269</v>
      </c>
      <c r="D22" s="6" t="s">
        <v>256</v>
      </c>
      <c r="E22" s="5">
        <v>44137</v>
      </c>
      <c r="F22" s="6">
        <v>22</v>
      </c>
      <c r="G22" s="6">
        <v>1</v>
      </c>
      <c r="H22" s="6">
        <v>27</v>
      </c>
      <c r="I22" s="6">
        <v>5</v>
      </c>
      <c r="J22" s="6" t="s">
        <v>1616</v>
      </c>
      <c r="K22" s="6" t="s">
        <v>1528</v>
      </c>
      <c r="L22" s="6" t="s">
        <v>452</v>
      </c>
      <c r="M22" s="7" t="str">
        <f>HYPERLINK("http://ovidsp.ovid.com/ovidweb.cgi?T=JS&amp;NEWS=n&amp;CSC=Y&amp;PAGE=toc&amp;D=yrovft&amp;AN=00045391-000000000-00000","http://ovidsp.ovid.com/ovidweb.cgi?T=JS&amp;NEWS=n&amp;CSC=Y&amp;PAGE=toc&amp;D=yrovft&amp;AN=00045391-000000000-00000")</f>
        <v>http://ovidsp.ovid.com/ovidweb.cgi?T=JS&amp;NEWS=n&amp;CSC=Y&amp;PAGE=toc&amp;D=yrovft&amp;AN=00045391-000000000-00000</v>
      </c>
      <c r="N22" s="6" t="s">
        <v>1117</v>
      </c>
      <c r="O22" s="6" t="s">
        <v>1537</v>
      </c>
      <c r="P22" s="6" t="b">
        <v>1</v>
      </c>
      <c r="Q22" s="8" t="s">
        <v>893</v>
      </c>
    </row>
    <row r="23" spans="1:17" x14ac:dyDescent="0.25">
      <c r="A23" s="4" t="s">
        <v>113</v>
      </c>
      <c r="B23" s="6" t="s">
        <v>1566</v>
      </c>
      <c r="C23" s="6" t="s">
        <v>1311</v>
      </c>
      <c r="D23" s="6" t="s">
        <v>1184</v>
      </c>
      <c r="E23" s="5">
        <v>44137</v>
      </c>
      <c r="F23" s="6">
        <v>120</v>
      </c>
      <c r="G23" s="6">
        <v>1</v>
      </c>
      <c r="H23" s="6">
        <v>131</v>
      </c>
      <c r="I23" s="6">
        <v>5</v>
      </c>
      <c r="J23" s="6" t="s">
        <v>565</v>
      </c>
      <c r="K23" s="6" t="s">
        <v>1349</v>
      </c>
      <c r="L23" s="6" t="s">
        <v>1046</v>
      </c>
      <c r="M23" s="7" t="str">
        <f>HYPERLINK("http://ovidsp.ovid.com/ovidweb.cgi?T=JS&amp;NEWS=n&amp;CSC=Y&amp;PAGE=toc&amp;D=yrovft&amp;AN=00000539-000000000-00000","http://ovidsp.ovid.com/ovidweb.cgi?T=JS&amp;NEWS=n&amp;CSC=Y&amp;PAGE=toc&amp;D=yrovft&amp;AN=00000539-000000000-00000")</f>
        <v>http://ovidsp.ovid.com/ovidweb.cgi?T=JS&amp;NEWS=n&amp;CSC=Y&amp;PAGE=toc&amp;D=yrovft&amp;AN=00000539-000000000-00000</v>
      </c>
      <c r="N23" s="6" t="s">
        <v>1117</v>
      </c>
      <c r="O23" s="6" t="s">
        <v>1733</v>
      </c>
      <c r="P23" s="6" t="b">
        <v>1</v>
      </c>
      <c r="Q23" s="8" t="s">
        <v>92</v>
      </c>
    </row>
    <row r="24" spans="1:17" x14ac:dyDescent="0.25">
      <c r="A24" s="4" t="s">
        <v>974</v>
      </c>
      <c r="B24" s="6" t="s">
        <v>844</v>
      </c>
      <c r="C24" s="6" t="s">
        <v>1310</v>
      </c>
      <c r="D24" s="6" t="s">
        <v>256</v>
      </c>
      <c r="E24" s="5">
        <v>44137</v>
      </c>
      <c r="F24" s="6">
        <v>122</v>
      </c>
      <c r="G24" s="6">
        <v>2</v>
      </c>
      <c r="H24" s="6">
        <v>133</v>
      </c>
      <c r="I24" s="6">
        <v>5</v>
      </c>
      <c r="J24" s="6" t="s">
        <v>119</v>
      </c>
      <c r="K24" s="6" t="s">
        <v>210</v>
      </c>
      <c r="L24" s="6" t="s">
        <v>1046</v>
      </c>
      <c r="M24" s="7" t="str">
        <f>HYPERLINK("http://ovidsp.ovid.com/ovidweb.cgi?T=JS&amp;NEWS=n&amp;CSC=Y&amp;PAGE=toc&amp;D=yrovft&amp;AN=00000542-000000000-00000","http://ovidsp.ovid.com/ovidweb.cgi?T=JS&amp;NEWS=n&amp;CSC=Y&amp;PAGE=toc&amp;D=yrovft&amp;AN=00000542-000000000-00000")</f>
        <v>http://ovidsp.ovid.com/ovidweb.cgi?T=JS&amp;NEWS=n&amp;CSC=Y&amp;PAGE=toc&amp;D=yrovft&amp;AN=00000542-000000000-00000</v>
      </c>
      <c r="N24" s="6" t="s">
        <v>1117</v>
      </c>
      <c r="O24" s="6" t="s">
        <v>443</v>
      </c>
      <c r="P24" s="6" t="b">
        <v>1</v>
      </c>
      <c r="Q24" s="8" t="s">
        <v>1523</v>
      </c>
    </row>
    <row r="25" spans="1:17" x14ac:dyDescent="0.25">
      <c r="A25" s="4" t="s">
        <v>355</v>
      </c>
      <c r="B25" s="6" t="s">
        <v>532</v>
      </c>
      <c r="C25" s="6" t="s">
        <v>1065</v>
      </c>
      <c r="D25" s="6" t="s">
        <v>256</v>
      </c>
      <c r="E25" s="5">
        <v>44137</v>
      </c>
      <c r="F25" s="6">
        <v>74</v>
      </c>
      <c r="G25" s="6">
        <v>1</v>
      </c>
      <c r="H25" s="6">
        <v>85</v>
      </c>
      <c r="I25" s="6">
        <v>5</v>
      </c>
      <c r="J25" s="6" t="s">
        <v>565</v>
      </c>
      <c r="K25" s="6" t="s">
        <v>1349</v>
      </c>
      <c r="L25" s="6" t="s">
        <v>1046</v>
      </c>
      <c r="M25" s="7" t="str">
        <f>HYPERLINK("http://ovidsp.ovid.com/ovidweb.cgi?T=JS&amp;NEWS=n&amp;CSC=Y&amp;PAGE=toc&amp;D=yrovft&amp;AN=00000637-000000000-00000","http://ovidsp.ovid.com/ovidweb.cgi?T=JS&amp;NEWS=n&amp;CSC=Y&amp;PAGE=toc&amp;D=yrovft&amp;AN=00000637-000000000-00000")</f>
        <v>http://ovidsp.ovid.com/ovidweb.cgi?T=JS&amp;NEWS=n&amp;CSC=Y&amp;PAGE=toc&amp;D=yrovft&amp;AN=00000637-000000000-00000</v>
      </c>
      <c r="N25" s="6" t="s">
        <v>1117</v>
      </c>
      <c r="O25" s="6" t="s">
        <v>882</v>
      </c>
      <c r="P25" s="6" t="b">
        <v>1</v>
      </c>
      <c r="Q25" s="8" t="s">
        <v>539</v>
      </c>
    </row>
    <row r="26" spans="1:17" x14ac:dyDescent="0.25">
      <c r="A26" s="4" t="s">
        <v>516</v>
      </c>
      <c r="B26" s="6" t="s">
        <v>1181</v>
      </c>
      <c r="C26" s="6" t="s">
        <v>729</v>
      </c>
      <c r="D26" s="6" t="s">
        <v>256</v>
      </c>
      <c r="E26" s="5">
        <v>44137</v>
      </c>
      <c r="F26" s="6">
        <v>261</v>
      </c>
      <c r="G26" s="6">
        <v>2</v>
      </c>
      <c r="H26" s="6">
        <v>272</v>
      </c>
      <c r="I26" s="6">
        <v>5</v>
      </c>
      <c r="J26" s="6" t="s">
        <v>119</v>
      </c>
      <c r="K26" s="6" t="s">
        <v>210</v>
      </c>
      <c r="L26" s="6" t="s">
        <v>1046</v>
      </c>
      <c r="M26" s="7" t="str">
        <f>HYPERLINK("http://ovidsp.ovid.com/ovidweb.cgi?T=JS&amp;NEWS=n&amp;CSC=Y&amp;PAGE=toc&amp;D=yrovft&amp;AN=00000658-000000000-00000","http://ovidsp.ovid.com/ovidweb.cgi?T=JS&amp;NEWS=n&amp;CSC=Y&amp;PAGE=toc&amp;D=yrovft&amp;AN=00000658-000000000-00000")</f>
        <v>http://ovidsp.ovid.com/ovidweb.cgi?T=JS&amp;NEWS=n&amp;CSC=Y&amp;PAGE=toc&amp;D=yrovft&amp;AN=00000658-000000000-00000</v>
      </c>
      <c r="N26" s="6" t="s">
        <v>1117</v>
      </c>
      <c r="O26" s="6" t="s">
        <v>423</v>
      </c>
      <c r="P26" s="6" t="b">
        <v>0</v>
      </c>
      <c r="Q26" s="8" t="s">
        <v>1117</v>
      </c>
    </row>
    <row r="27" spans="1:17" x14ac:dyDescent="0.25">
      <c r="A27" s="4" t="s">
        <v>761</v>
      </c>
      <c r="B27" s="6" t="s">
        <v>415</v>
      </c>
      <c r="C27" s="6" t="s">
        <v>1340</v>
      </c>
      <c r="D27" s="6" t="s">
        <v>256</v>
      </c>
      <c r="E27" s="5">
        <v>44137</v>
      </c>
      <c r="F27" s="6">
        <v>26</v>
      </c>
      <c r="G27" s="6">
        <v>1</v>
      </c>
      <c r="H27" s="6">
        <v>31</v>
      </c>
      <c r="I27" s="6">
        <v>10</v>
      </c>
      <c r="J27" s="6" t="s">
        <v>565</v>
      </c>
      <c r="K27" s="6" t="s">
        <v>1349</v>
      </c>
      <c r="L27" s="6" t="s">
        <v>1046</v>
      </c>
      <c r="M27" s="7" t="str">
        <f>HYPERLINK("http://ovidsp.ovid.com/ovidweb.cgi?T=JS&amp;NEWS=n&amp;CSC=Y&amp;PAGE=toc&amp;D=yrovft&amp;AN=00001813-000000000-00000","http://ovidsp.ovid.com/ovidweb.cgi?T=JS&amp;NEWS=n&amp;CSC=Y&amp;PAGE=toc&amp;D=yrovft&amp;AN=00001813-000000000-00000")</f>
        <v>http://ovidsp.ovid.com/ovidweb.cgi?T=JS&amp;NEWS=n&amp;CSC=Y&amp;PAGE=toc&amp;D=yrovft&amp;AN=00001813-000000000-00000</v>
      </c>
      <c r="N27" s="6" t="s">
        <v>1117</v>
      </c>
      <c r="O27" s="6" t="s">
        <v>1048</v>
      </c>
      <c r="P27" s="6" t="b">
        <v>1</v>
      </c>
      <c r="Q27" s="8" t="s">
        <v>566</v>
      </c>
    </row>
    <row r="28" spans="1:17" x14ac:dyDescent="0.25">
      <c r="A28" s="4" t="s">
        <v>440</v>
      </c>
      <c r="B28" s="6" t="s">
        <v>777</v>
      </c>
      <c r="C28" s="6" t="s">
        <v>1127</v>
      </c>
      <c r="D28" s="6" t="s">
        <v>256</v>
      </c>
      <c r="E28" s="5">
        <v>44137</v>
      </c>
      <c r="F28" s="6">
        <v>23</v>
      </c>
      <c r="G28" s="6">
        <v>1</v>
      </c>
      <c r="H28" s="6">
        <v>28</v>
      </c>
      <c r="I28" s="6">
        <v>9</v>
      </c>
      <c r="J28" s="6" t="s">
        <v>1189</v>
      </c>
      <c r="K28" s="6" t="s">
        <v>1349</v>
      </c>
      <c r="L28" s="6" t="s">
        <v>739</v>
      </c>
      <c r="M28" s="7" t="str">
        <f>HYPERLINK("http://ovidsp.ovid.com/ovidweb.cgi?T=JS&amp;NEWS=n&amp;CSC=Y&amp;PAGE=toc&amp;D=yrovft&amp;AN=00129039-000000000-00000","http://ovidsp.ovid.com/ovidweb.cgi?T=JS&amp;NEWS=n&amp;CSC=Y&amp;PAGE=toc&amp;D=yrovft&amp;AN=00129039-000000000-00000")</f>
        <v>http://ovidsp.ovid.com/ovidweb.cgi?T=JS&amp;NEWS=n&amp;CSC=Y&amp;PAGE=toc&amp;D=yrovft&amp;AN=00129039-000000000-00000</v>
      </c>
      <c r="N28" s="6" t="s">
        <v>1117</v>
      </c>
      <c r="O28" s="6" t="s">
        <v>1633</v>
      </c>
      <c r="P28" s="6" t="b">
        <v>0</v>
      </c>
      <c r="Q28" s="8" t="s">
        <v>1117</v>
      </c>
    </row>
    <row r="29" spans="1:17" x14ac:dyDescent="0.25">
      <c r="A29" s="4" t="s">
        <v>1646</v>
      </c>
      <c r="B29" s="6" t="s">
        <v>185</v>
      </c>
      <c r="C29" s="6" t="s">
        <v>778</v>
      </c>
      <c r="D29" s="6" t="s">
        <v>1179</v>
      </c>
      <c r="E29" s="5">
        <v>44137</v>
      </c>
      <c r="F29" s="6">
        <v>35</v>
      </c>
      <c r="G29" s="6">
        <v>1</v>
      </c>
      <c r="H29" s="6">
        <v>40</v>
      </c>
      <c r="I29" s="6">
        <v>11</v>
      </c>
      <c r="J29" s="6" t="s">
        <v>565</v>
      </c>
      <c r="K29" s="6" t="s">
        <v>1349</v>
      </c>
      <c r="L29" s="6" t="s">
        <v>1046</v>
      </c>
      <c r="M29" s="7" t="str">
        <f>HYPERLINK("http://ovidsp.ovid.com/ovidweb.cgi?T=JS&amp;NEWS=n&amp;CSC=Y&amp;PAGE=toc&amp;D=yrovft&amp;AN=00043605-000000000-00000","http://ovidsp.ovid.com/ovidweb.cgi?T=JS&amp;NEWS=n&amp;CSC=Y&amp;PAGE=toc&amp;D=yrovft&amp;AN=00043605-000000000-00000")</f>
        <v>http://ovidsp.ovid.com/ovidweb.cgi?T=JS&amp;NEWS=n&amp;CSC=Y&amp;PAGE=toc&amp;D=yrovft&amp;AN=00043605-000000000-00000</v>
      </c>
      <c r="N29" s="6" t="s">
        <v>1117</v>
      </c>
      <c r="O29" s="6" t="s">
        <v>792</v>
      </c>
      <c r="P29" s="6" t="b">
        <v>1</v>
      </c>
      <c r="Q29" s="8" t="s">
        <v>390</v>
      </c>
    </row>
    <row r="30" spans="1:17" x14ac:dyDescent="0.25">
      <c r="A30" s="4" t="s">
        <v>546</v>
      </c>
      <c r="B30" s="6" t="s">
        <v>749</v>
      </c>
      <c r="C30" s="6" t="s">
        <v>1117</v>
      </c>
      <c r="D30" s="6" t="s">
        <v>256</v>
      </c>
      <c r="E30" s="5">
        <v>44137</v>
      </c>
      <c r="F30" s="6">
        <v>30</v>
      </c>
      <c r="G30" s="6">
        <v>1</v>
      </c>
      <c r="H30" s="6">
        <v>35</v>
      </c>
      <c r="I30" s="6">
        <v>11</v>
      </c>
      <c r="J30" s="6" t="s">
        <v>565</v>
      </c>
      <c r="K30" s="6" t="s">
        <v>1349</v>
      </c>
      <c r="L30" s="6" t="s">
        <v>1046</v>
      </c>
      <c r="M30" s="7" t="str">
        <f>HYPERLINK("http://ovidsp.ovid.com/ovidweb.cgi?T=JS&amp;NEWS=n&amp;CSC=Y&amp;PAGE=toc&amp;D=yrovft&amp;AN=00130561-000000000-00000","http://ovidsp.ovid.com/ovidweb.cgi?T=JS&amp;NEWS=n&amp;CSC=Y&amp;PAGE=toc&amp;D=yrovft&amp;AN=00130561-000000000-00000")</f>
        <v>http://ovidsp.ovid.com/ovidweb.cgi?T=JS&amp;NEWS=n&amp;CSC=Y&amp;PAGE=toc&amp;D=yrovft&amp;AN=00130561-000000000-00000</v>
      </c>
      <c r="N30" s="6" t="s">
        <v>1117</v>
      </c>
      <c r="O30" s="6" t="s">
        <v>457</v>
      </c>
      <c r="P30" s="6" t="b">
        <v>0</v>
      </c>
      <c r="Q30" s="8" t="s">
        <v>1117</v>
      </c>
    </row>
    <row r="31" spans="1:17" x14ac:dyDescent="0.25">
      <c r="A31" s="4" t="s">
        <v>551</v>
      </c>
      <c r="B31" s="6" t="s">
        <v>822</v>
      </c>
      <c r="C31" s="6" t="s">
        <v>397</v>
      </c>
      <c r="D31" s="6" t="s">
        <v>256</v>
      </c>
      <c r="E31" s="5">
        <v>44137</v>
      </c>
      <c r="F31" s="6">
        <v>26</v>
      </c>
      <c r="G31" s="6" t="s">
        <v>1533</v>
      </c>
      <c r="H31" s="6">
        <v>31</v>
      </c>
      <c r="I31" s="6">
        <v>7</v>
      </c>
      <c r="J31" s="6" t="s">
        <v>1686</v>
      </c>
      <c r="K31" s="6" t="s">
        <v>210</v>
      </c>
      <c r="L31" s="6" t="s">
        <v>739</v>
      </c>
      <c r="M31" s="7" t="str">
        <f>HYPERLINK("http://ovidsp.ovid.com/ovidweb.cgi?T=JS&amp;NEWS=n&amp;CSC=Y&amp;PAGE=toc&amp;D=yrovft&amp;AN=00008877-000000000-00000","http://ovidsp.ovid.com/ovidweb.cgi?T=JS&amp;NEWS=n&amp;CSC=Y&amp;PAGE=toc&amp;D=yrovft&amp;AN=00008877-000000000-00000")</f>
        <v>http://ovidsp.ovid.com/ovidweb.cgi?T=JS&amp;NEWS=n&amp;CSC=Y&amp;PAGE=toc&amp;D=yrovft&amp;AN=00008877-000000000-00000</v>
      </c>
      <c r="N31" s="6" t="s">
        <v>1117</v>
      </c>
      <c r="O31" s="6" t="s">
        <v>1645</v>
      </c>
      <c r="P31" s="6" t="b">
        <v>1</v>
      </c>
      <c r="Q31" s="8" t="s">
        <v>545</v>
      </c>
    </row>
    <row r="32" spans="1:17" x14ac:dyDescent="0.25">
      <c r="A32" s="4" t="s">
        <v>1238</v>
      </c>
      <c r="B32" s="6" t="s">
        <v>340</v>
      </c>
      <c r="C32" s="6" t="s">
        <v>498</v>
      </c>
      <c r="D32" s="6" t="s">
        <v>256</v>
      </c>
      <c r="E32" s="5">
        <v>44137</v>
      </c>
      <c r="F32" s="6">
        <v>45</v>
      </c>
      <c r="G32" s="6">
        <v>1</v>
      </c>
      <c r="H32" s="6">
        <v>50</v>
      </c>
      <c r="I32" s="6">
        <v>19</v>
      </c>
      <c r="J32" s="6" t="s">
        <v>1399</v>
      </c>
      <c r="K32" s="6" t="s">
        <v>1251</v>
      </c>
      <c r="L32" s="6" t="s">
        <v>780</v>
      </c>
      <c r="M32" s="7" t="str">
        <f>HYPERLINK("http://ovidsp.ovid.com/ovidweb.cgi?T=JS&amp;NEWS=n&amp;CSC=Y&amp;PAGE=toc&amp;D=yrovft&amp;AN=00149078-000000000-00000","http://ovidsp.ovid.com/ovidweb.cgi?T=JS&amp;NEWS=n&amp;CSC=Y&amp;PAGE=toc&amp;D=yrovft&amp;AN=00149078-000000000-00000")</f>
        <v>http://ovidsp.ovid.com/ovidweb.cgi?T=JS&amp;NEWS=n&amp;CSC=Y&amp;PAGE=toc&amp;D=yrovft&amp;AN=00149078-000000000-00000</v>
      </c>
      <c r="N32" s="6" t="s">
        <v>1117</v>
      </c>
      <c r="O32" s="6" t="s">
        <v>717</v>
      </c>
      <c r="P32" s="6" t="b">
        <v>0</v>
      </c>
      <c r="Q32" s="8" t="s">
        <v>1117</v>
      </c>
    </row>
    <row r="33" spans="1:17" x14ac:dyDescent="0.25">
      <c r="A33" s="4" t="s">
        <v>1577</v>
      </c>
      <c r="B33" s="6" t="s">
        <v>1166</v>
      </c>
      <c r="C33" s="6" t="s">
        <v>596</v>
      </c>
      <c r="D33" s="6" t="s">
        <v>256</v>
      </c>
      <c r="E33" s="5">
        <v>44137</v>
      </c>
      <c r="F33" s="6">
        <v>26</v>
      </c>
      <c r="G33" s="6">
        <v>1</v>
      </c>
      <c r="H33" s="6">
        <v>31</v>
      </c>
      <c r="I33" s="6">
        <v>7</v>
      </c>
      <c r="J33" s="6" t="s">
        <v>1189</v>
      </c>
      <c r="K33" s="6" t="s">
        <v>1349</v>
      </c>
      <c r="L33" s="6" t="s">
        <v>739</v>
      </c>
      <c r="M33" s="7" t="str">
        <f>HYPERLINK("http://ovidsp.ovid.com/ovidweb.cgi?T=JS&amp;NEWS=n&amp;CSC=Y&amp;PAGE=toc&amp;D=yrovft&amp;AN=00001721-000000000-00000","http://ovidsp.ovid.com/ovidweb.cgi?T=JS&amp;NEWS=n&amp;CSC=Y&amp;PAGE=toc&amp;D=yrovft&amp;AN=00001721-000000000-00000")</f>
        <v>http://ovidsp.ovid.com/ovidweb.cgi?T=JS&amp;NEWS=n&amp;CSC=Y&amp;PAGE=toc&amp;D=yrovft&amp;AN=00001721-000000000-00000</v>
      </c>
      <c r="N33" s="6" t="s">
        <v>1117</v>
      </c>
      <c r="O33" s="6" t="s">
        <v>1462</v>
      </c>
      <c r="P33" s="6" t="b">
        <v>1</v>
      </c>
      <c r="Q33" s="8" t="s">
        <v>288</v>
      </c>
    </row>
    <row r="34" spans="1:17" x14ac:dyDescent="0.25">
      <c r="A34" s="4" t="s">
        <v>1240</v>
      </c>
      <c r="B34" s="6" t="s">
        <v>1129</v>
      </c>
      <c r="C34" s="6" t="s">
        <v>280</v>
      </c>
      <c r="D34" s="6" t="s">
        <v>256</v>
      </c>
      <c r="E34" s="5">
        <v>44137</v>
      </c>
      <c r="F34" s="6">
        <v>20</v>
      </c>
      <c r="G34" s="6">
        <v>1</v>
      </c>
      <c r="H34" s="6">
        <v>25</v>
      </c>
      <c r="I34" s="6">
        <v>5</v>
      </c>
      <c r="J34" s="6" t="s">
        <v>1686</v>
      </c>
      <c r="K34" s="6" t="s">
        <v>210</v>
      </c>
      <c r="L34" s="6" t="s">
        <v>739</v>
      </c>
      <c r="M34" s="7" t="str">
        <f>HYPERLINK("http://ovidsp.ovid.com/ovidweb.cgi?T=JS&amp;NEWS=n&amp;CSC=Y&amp;PAGE=toc&amp;D=yrovft&amp;AN=00126097-000000000-00000","http://ovidsp.ovid.com/ovidweb.cgi?T=JS&amp;NEWS=n&amp;CSC=Y&amp;PAGE=toc&amp;D=yrovft&amp;AN=00126097-000000000-00000")</f>
        <v>http://ovidsp.ovid.com/ovidweb.cgi?T=JS&amp;NEWS=n&amp;CSC=Y&amp;PAGE=toc&amp;D=yrovft&amp;AN=00126097-000000000-00000</v>
      </c>
      <c r="N34" s="6" t="s">
        <v>1117</v>
      </c>
      <c r="O34" s="6" t="s">
        <v>402</v>
      </c>
      <c r="P34" s="6" t="b">
        <v>1</v>
      </c>
      <c r="Q34" s="8" t="s">
        <v>1216</v>
      </c>
    </row>
    <row r="35" spans="1:17" x14ac:dyDescent="0.25">
      <c r="A35" s="4" t="s">
        <v>1573</v>
      </c>
      <c r="B35" s="6" t="s">
        <v>189</v>
      </c>
      <c r="C35" s="6" t="s">
        <v>1548</v>
      </c>
      <c r="D35" s="6" t="s">
        <v>256</v>
      </c>
      <c r="E35" s="5">
        <v>44137</v>
      </c>
      <c r="F35" s="6">
        <v>21</v>
      </c>
      <c r="G35" s="6">
        <v>1</v>
      </c>
      <c r="H35" s="6">
        <v>26</v>
      </c>
      <c r="I35" s="6">
        <v>5</v>
      </c>
      <c r="J35" s="6" t="s">
        <v>1616</v>
      </c>
      <c r="K35" s="6" t="s">
        <v>1528</v>
      </c>
      <c r="L35" s="6" t="s">
        <v>452</v>
      </c>
      <c r="M35" s="7" t="str">
        <f>HYPERLINK("http://ovidsp.ovid.com/ovidweb.cgi?T=JS&amp;NEWS=n&amp;CSC=Y&amp;PAGE=toc&amp;D=yrovft&amp;AN=00130404-000000000-00000","http://ovidsp.ovid.com/ovidweb.cgi?T=JS&amp;NEWS=n&amp;CSC=Y&amp;PAGE=toc&amp;D=yrovft&amp;AN=00130404-000000000-00000")</f>
        <v>http://ovidsp.ovid.com/ovidweb.cgi?T=JS&amp;NEWS=n&amp;CSC=Y&amp;PAGE=toc&amp;D=yrovft&amp;AN=00130404-000000000-00000</v>
      </c>
      <c r="N35" s="6" t="s">
        <v>1117</v>
      </c>
      <c r="O35" s="6" t="s">
        <v>1062</v>
      </c>
      <c r="P35" s="6" t="b">
        <v>0</v>
      </c>
      <c r="Q35" s="8" t="s">
        <v>1117</v>
      </c>
    </row>
    <row r="36" spans="1:17" x14ac:dyDescent="0.25">
      <c r="A36" s="4" t="s">
        <v>762</v>
      </c>
      <c r="B36" s="6" t="s">
        <v>900</v>
      </c>
      <c r="C36" s="6" t="s">
        <v>1488</v>
      </c>
      <c r="D36" s="6" t="s">
        <v>256</v>
      </c>
      <c r="E36" s="5">
        <v>44137</v>
      </c>
      <c r="F36" s="6">
        <v>38</v>
      </c>
      <c r="G36" s="6">
        <v>1</v>
      </c>
      <c r="H36" s="6">
        <v>43</v>
      </c>
      <c r="I36" s="6">
        <v>6</v>
      </c>
      <c r="J36" s="6" t="s">
        <v>1635</v>
      </c>
      <c r="K36" s="6" t="s">
        <v>1528</v>
      </c>
      <c r="L36" s="6" t="s">
        <v>270</v>
      </c>
      <c r="M36" s="7" t="str">
        <f>HYPERLINK("http://ovidsp.ovid.com/ovidweb.cgi?T=JS&amp;NEWS=n&amp;CSC=Y&amp;PAGE=toc&amp;D=yrovft&amp;AN=00002820-000000000-00000","http://ovidsp.ovid.com/ovidweb.cgi?T=JS&amp;NEWS=n&amp;CSC=Y&amp;PAGE=toc&amp;D=yrovft&amp;AN=00002820-000000000-00000")</f>
        <v>http://ovidsp.ovid.com/ovidweb.cgi?T=JS&amp;NEWS=n&amp;CSC=Y&amp;PAGE=toc&amp;D=yrovft&amp;AN=00002820-000000000-00000</v>
      </c>
      <c r="N36" s="6" t="s">
        <v>1117</v>
      </c>
      <c r="O36" s="6" t="s">
        <v>1424</v>
      </c>
      <c r="P36" s="6" t="b">
        <v>0</v>
      </c>
      <c r="Q36" s="8" t="s">
        <v>1117</v>
      </c>
    </row>
    <row r="37" spans="1:17" x14ac:dyDescent="0.25">
      <c r="A37" s="4" t="s">
        <v>1339</v>
      </c>
      <c r="B37" s="6" t="s">
        <v>1132</v>
      </c>
      <c r="C37" s="6" t="s">
        <v>428</v>
      </c>
      <c r="D37" s="6" t="s">
        <v>256</v>
      </c>
      <c r="E37" s="5">
        <v>44137</v>
      </c>
      <c r="F37" s="6">
        <v>23</v>
      </c>
      <c r="G37" s="6">
        <v>1</v>
      </c>
      <c r="H37" s="6">
        <v>28</v>
      </c>
      <c r="I37" s="6">
        <v>6</v>
      </c>
      <c r="J37" s="6" t="s">
        <v>1635</v>
      </c>
      <c r="K37" s="6" t="s">
        <v>1528</v>
      </c>
      <c r="L37" s="6" t="s">
        <v>270</v>
      </c>
      <c r="M37" s="7" t="str">
        <f>HYPERLINK("http://ovidsp.ovid.com/ovidweb.cgi?T=JS&amp;NEWS=n&amp;CSC=Y&amp;PAGE=toc&amp;D=yrovft&amp;AN=00045415-000000000-00000","http://ovidsp.ovid.com/ovidweb.cgi?T=JS&amp;NEWS=n&amp;CSC=Y&amp;PAGE=toc&amp;D=yrovft&amp;AN=00045415-000000000-00000")</f>
        <v>http://ovidsp.ovid.com/ovidweb.cgi?T=JS&amp;NEWS=n&amp;CSC=Y&amp;PAGE=toc&amp;D=yrovft&amp;AN=00045415-000000000-00000</v>
      </c>
      <c r="N37" s="6" t="s">
        <v>1117</v>
      </c>
      <c r="O37" s="6" t="s">
        <v>1643</v>
      </c>
      <c r="P37" s="6" t="b">
        <v>1</v>
      </c>
      <c r="Q37" s="8" t="s">
        <v>1747</v>
      </c>
    </row>
    <row r="38" spans="1:17" x14ac:dyDescent="0.25">
      <c r="A38" s="4" t="s">
        <v>1508</v>
      </c>
      <c r="B38" s="6" t="s">
        <v>238</v>
      </c>
      <c r="C38" s="6" t="s">
        <v>895</v>
      </c>
      <c r="D38" s="6" t="s">
        <v>256</v>
      </c>
      <c r="E38" s="5">
        <v>44137</v>
      </c>
      <c r="F38" s="6">
        <v>33</v>
      </c>
      <c r="G38" s="6">
        <v>1</v>
      </c>
      <c r="H38" s="6">
        <v>38</v>
      </c>
      <c r="I38" s="6">
        <v>10</v>
      </c>
      <c r="J38" s="6" t="s">
        <v>1189</v>
      </c>
      <c r="K38" s="6" t="s">
        <v>1349</v>
      </c>
      <c r="L38" s="6" t="s">
        <v>739</v>
      </c>
      <c r="M38" s="7" t="str">
        <f>HYPERLINK("http://ovidsp.ovid.com/ovidweb.cgi?T=JS&amp;NEWS=n&amp;CSC=Y&amp;PAGE=toc&amp;D=yrovft&amp;AN=00024665-000000000-00000","http://ovidsp.ovid.com/ovidweb.cgi?T=JS&amp;NEWS=n&amp;CSC=Y&amp;PAGE=toc&amp;D=yrovft&amp;AN=00024665-000000000-00000")</f>
        <v>http://ovidsp.ovid.com/ovidweb.cgi?T=JS&amp;NEWS=n&amp;CSC=Y&amp;PAGE=toc&amp;D=yrovft&amp;AN=00024665-000000000-00000</v>
      </c>
      <c r="N38" s="6" t="s">
        <v>1117</v>
      </c>
      <c r="O38" s="6" t="s">
        <v>554</v>
      </c>
      <c r="P38" s="6" t="b">
        <v>1</v>
      </c>
      <c r="Q38" s="8" t="s">
        <v>608</v>
      </c>
    </row>
    <row r="39" spans="1:17" x14ac:dyDescent="0.25">
      <c r="A39" s="4" t="s">
        <v>1631</v>
      </c>
      <c r="B39" s="6" t="s">
        <v>548</v>
      </c>
      <c r="C39" s="6" t="s">
        <v>1008</v>
      </c>
      <c r="D39" s="6" t="s">
        <v>1179</v>
      </c>
      <c r="E39" s="5">
        <v>44137</v>
      </c>
      <c r="F39" s="6">
        <v>131</v>
      </c>
      <c r="G39" s="6">
        <v>1</v>
      </c>
      <c r="H39" s="6">
        <v>142</v>
      </c>
      <c r="I39" s="6" t="s">
        <v>479</v>
      </c>
      <c r="J39" s="6" t="s">
        <v>574</v>
      </c>
      <c r="K39" s="6" t="s">
        <v>1515</v>
      </c>
      <c r="L39" s="6" t="s">
        <v>990</v>
      </c>
      <c r="M39" s="7" t="str">
        <f>HYPERLINK("http://ovidsp.ovid.com/ovidweb.cgi?T=JS&amp;NEWS=n&amp;CSC=Y&amp;PAGE=toc&amp;D=yrovft&amp;AN=00003017-000000000-00000","http://ovidsp.ovid.com/ovidweb.cgi?T=JS&amp;NEWS=n&amp;CSC=Y&amp;PAGE=toc&amp;D=yrovft&amp;AN=00003017-000000000-00000")</f>
        <v>http://ovidsp.ovid.com/ovidweb.cgi?T=JS&amp;NEWS=n&amp;CSC=Y&amp;PAGE=toc&amp;D=yrovft&amp;AN=00003017-000000000-00000</v>
      </c>
      <c r="N39" s="6" t="s">
        <v>1117</v>
      </c>
      <c r="O39" s="6" t="s">
        <v>1657</v>
      </c>
      <c r="P39" s="6" t="b">
        <v>1</v>
      </c>
      <c r="Q39" s="8" t="s">
        <v>919</v>
      </c>
    </row>
    <row r="40" spans="1:17" x14ac:dyDescent="0.25">
      <c r="A40" s="4" t="s">
        <v>986</v>
      </c>
      <c r="B40" s="6" t="s">
        <v>500</v>
      </c>
      <c r="C40" s="6" t="s">
        <v>1235</v>
      </c>
      <c r="D40" s="6" t="s">
        <v>1179</v>
      </c>
      <c r="E40" s="5">
        <v>44137</v>
      </c>
      <c r="F40" s="6">
        <v>116</v>
      </c>
      <c r="G40" s="6">
        <v>1</v>
      </c>
      <c r="H40" s="6">
        <v>127</v>
      </c>
      <c r="I40" s="6">
        <v>9</v>
      </c>
      <c r="J40" s="6" t="s">
        <v>1755</v>
      </c>
      <c r="K40" s="6" t="s">
        <v>508</v>
      </c>
      <c r="L40" s="6" t="s">
        <v>1228</v>
      </c>
      <c r="M40" s="7" t="str">
        <f>HYPERLINK("http://ovidsp.ovid.com/ovidweb.cgi?T=JS&amp;NEWS=n&amp;CSC=Y&amp;PAGE=toc&amp;D=yrovft&amp;AN=00003012-000000000-00000","http://ovidsp.ovid.com/ovidweb.cgi?T=JS&amp;NEWS=n&amp;CSC=Y&amp;PAGE=toc&amp;D=yrovft&amp;AN=00003012-000000000-00000")</f>
        <v>http://ovidsp.ovid.com/ovidweb.cgi?T=JS&amp;NEWS=n&amp;CSC=Y&amp;PAGE=toc&amp;D=yrovft&amp;AN=00003012-000000000-00000</v>
      </c>
      <c r="N40" s="6" t="s">
        <v>1117</v>
      </c>
      <c r="O40" s="6" t="s">
        <v>898</v>
      </c>
      <c r="P40" s="6" t="b">
        <v>0</v>
      </c>
      <c r="Q40" s="8" t="s">
        <v>1117</v>
      </c>
    </row>
    <row r="41" spans="1:17" x14ac:dyDescent="0.25">
      <c r="A41" s="4" t="s">
        <v>1307</v>
      </c>
      <c r="B41" s="6" t="s">
        <v>947</v>
      </c>
      <c r="C41" s="6" t="s">
        <v>96</v>
      </c>
      <c r="D41" s="6" t="s">
        <v>256</v>
      </c>
      <c r="E41" s="5">
        <v>44137</v>
      </c>
      <c r="F41" s="6">
        <v>24</v>
      </c>
      <c r="G41" s="6">
        <v>1</v>
      </c>
      <c r="H41" s="6">
        <v>29</v>
      </c>
      <c r="I41" s="6">
        <v>4</v>
      </c>
      <c r="J41" s="6" t="s">
        <v>1189</v>
      </c>
      <c r="K41" s="6" t="s">
        <v>1349</v>
      </c>
      <c r="L41" s="6" t="s">
        <v>739</v>
      </c>
      <c r="M41" s="7" t="str">
        <f>HYPERLINK("http://ovidsp.ovid.com/ovidweb.cgi?T=JS&amp;NEWS=n&amp;CSC=Y&amp;PAGE=toc&amp;D=yrovft&amp;AN=00019605-000000000-00000","http://ovidsp.ovid.com/ovidweb.cgi?T=JS&amp;NEWS=n&amp;CSC=Y&amp;PAGE=toc&amp;D=yrovft&amp;AN=00019605-000000000-00000")</f>
        <v>http://ovidsp.ovid.com/ovidweb.cgi?T=JS&amp;NEWS=n&amp;CSC=Y&amp;PAGE=toc&amp;D=yrovft&amp;AN=00019605-000000000-00000</v>
      </c>
      <c r="N41" s="6" t="s">
        <v>1117</v>
      </c>
      <c r="O41" s="6" t="s">
        <v>1443</v>
      </c>
      <c r="P41" s="6" t="b">
        <v>0</v>
      </c>
      <c r="Q41" s="8" t="s">
        <v>1117</v>
      </c>
    </row>
    <row r="42" spans="1:17" x14ac:dyDescent="0.25">
      <c r="A42" s="4" t="s">
        <v>332</v>
      </c>
      <c r="B42" s="6" t="s">
        <v>85</v>
      </c>
      <c r="C42" s="6" t="s">
        <v>1630</v>
      </c>
      <c r="D42" s="6" t="s">
        <v>256</v>
      </c>
      <c r="E42" s="5">
        <v>44137</v>
      </c>
      <c r="F42" s="6">
        <v>31</v>
      </c>
      <c r="G42" s="6">
        <v>1</v>
      </c>
      <c r="H42" s="6">
        <v>36</v>
      </c>
      <c r="I42" s="6">
        <v>11</v>
      </c>
      <c r="J42" s="6" t="s">
        <v>565</v>
      </c>
      <c r="K42" s="6" t="s">
        <v>1349</v>
      </c>
      <c r="L42" s="6" t="s">
        <v>1046</v>
      </c>
      <c r="M42" s="7" t="str">
        <f>HYPERLINK("http://ovidsp.ovid.com/ovidweb.cgi?T=JS&amp;NEWS=n&amp;CSC=Y&amp;PAGE=toc&amp;D=yrovft&amp;AN=00002508-000000000-00000","http://ovidsp.ovid.com/ovidweb.cgi?T=JS&amp;NEWS=n&amp;CSC=Y&amp;PAGE=toc&amp;D=yrovft&amp;AN=00002508-000000000-00000")</f>
        <v>http://ovidsp.ovid.com/ovidweb.cgi?T=JS&amp;NEWS=n&amp;CSC=Y&amp;PAGE=toc&amp;D=yrovft&amp;AN=00002508-000000000-00000</v>
      </c>
      <c r="N42" s="6" t="s">
        <v>1117</v>
      </c>
      <c r="O42" s="6" t="s">
        <v>1540</v>
      </c>
      <c r="P42" s="6" t="b">
        <v>1</v>
      </c>
      <c r="Q42" s="8" t="s">
        <v>1103</v>
      </c>
    </row>
    <row r="43" spans="1:17" x14ac:dyDescent="0.25">
      <c r="A43" s="4" t="s">
        <v>388</v>
      </c>
      <c r="B43" s="6" t="s">
        <v>526</v>
      </c>
      <c r="C43" s="6" t="s">
        <v>673</v>
      </c>
      <c r="D43" s="6" t="s">
        <v>256</v>
      </c>
      <c r="E43" s="5">
        <v>44137</v>
      </c>
      <c r="F43" s="6">
        <v>25</v>
      </c>
      <c r="G43" s="6">
        <v>1</v>
      </c>
      <c r="H43" s="6">
        <v>30</v>
      </c>
      <c r="I43" s="6">
        <v>5</v>
      </c>
      <c r="J43" s="6" t="s">
        <v>838</v>
      </c>
      <c r="K43" s="6" t="s">
        <v>1349</v>
      </c>
      <c r="L43" s="6" t="s">
        <v>553</v>
      </c>
      <c r="M43" s="7" t="str">
        <f>HYPERLINK("http://ovidsp.ovid.com/ovidweb.cgi?T=JS&amp;NEWS=n&amp;CSC=Y&amp;PAGE=toc&amp;D=yrovft&amp;AN=00042752-000000000-00000","http://ovidsp.ovid.com/ovidweb.cgi?T=JS&amp;NEWS=n&amp;CSC=Y&amp;PAGE=toc&amp;D=yrovft&amp;AN=00042752-000000000-00000")</f>
        <v>http://ovidsp.ovid.com/ovidweb.cgi?T=JS&amp;NEWS=n&amp;CSC=Y&amp;PAGE=toc&amp;D=yrovft&amp;AN=00042752-000000000-00000</v>
      </c>
      <c r="N43" s="6" t="s">
        <v>1117</v>
      </c>
      <c r="O43" s="6" t="s">
        <v>1653</v>
      </c>
      <c r="P43" s="6" t="b">
        <v>1</v>
      </c>
      <c r="Q43" s="8" t="s">
        <v>1038</v>
      </c>
    </row>
    <row r="44" spans="1:17" x14ac:dyDescent="0.25">
      <c r="A44" s="4" t="s">
        <v>1547</v>
      </c>
      <c r="B44" s="6" t="s">
        <v>448</v>
      </c>
      <c r="C44" s="6" t="s">
        <v>1360</v>
      </c>
      <c r="D44" s="6" t="s">
        <v>256</v>
      </c>
      <c r="E44" s="5">
        <v>44137</v>
      </c>
      <c r="F44" s="6">
        <v>38</v>
      </c>
      <c r="G44" s="6">
        <v>1</v>
      </c>
      <c r="H44" s="6">
        <v>43</v>
      </c>
      <c r="I44" s="6">
        <v>5</v>
      </c>
      <c r="J44" s="6" t="s">
        <v>1616</v>
      </c>
      <c r="K44" s="6" t="s">
        <v>1528</v>
      </c>
      <c r="L44" s="6" t="s">
        <v>452</v>
      </c>
      <c r="M44" s="7" t="str">
        <f>HYPERLINK("http://ovidsp.ovid.com/ovidweb.cgi?T=JS&amp;NEWS=n&amp;CSC=Y&amp;PAGE=toc&amp;D=yrovft&amp;AN=00002826-000000000-00000","http://ovidsp.ovid.com/ovidweb.cgi?T=JS&amp;NEWS=n&amp;CSC=Y&amp;PAGE=toc&amp;D=yrovft&amp;AN=00002826-000000000-00000")</f>
        <v>http://ovidsp.ovid.com/ovidweb.cgi?T=JS&amp;NEWS=n&amp;CSC=Y&amp;PAGE=toc&amp;D=yrovft&amp;AN=00002826-000000000-00000</v>
      </c>
      <c r="N44" s="6" t="s">
        <v>1117</v>
      </c>
      <c r="O44" s="6" t="s">
        <v>362</v>
      </c>
      <c r="P44" s="6" t="b">
        <v>1</v>
      </c>
      <c r="Q44" s="8" t="s">
        <v>60</v>
      </c>
    </row>
    <row r="45" spans="1:17" x14ac:dyDescent="0.25">
      <c r="A45" s="4" t="s">
        <v>1272</v>
      </c>
      <c r="B45" s="6" t="s">
        <v>1710</v>
      </c>
      <c r="C45" s="6" t="s">
        <v>651</v>
      </c>
      <c r="D45" s="6" t="s">
        <v>256</v>
      </c>
      <c r="E45" s="5">
        <v>44137</v>
      </c>
      <c r="F45" s="6">
        <v>40</v>
      </c>
      <c r="G45" s="6">
        <v>1</v>
      </c>
      <c r="H45" s="6">
        <v>45</v>
      </c>
      <c r="I45" s="6">
        <v>11</v>
      </c>
      <c r="J45" s="6" t="s">
        <v>565</v>
      </c>
      <c r="K45" s="6" t="s">
        <v>1349</v>
      </c>
      <c r="L45" s="6" t="s">
        <v>1046</v>
      </c>
      <c r="M45" s="7" t="str">
        <f>HYPERLINK("http://ovidsp.ovid.com/ovidweb.cgi?T=JS&amp;NEWS=n&amp;CSC=Y&amp;PAGE=toc&amp;D=yrovft&amp;AN=00003072-000000000-00000","http://ovidsp.ovid.com/ovidweb.cgi?T=JS&amp;NEWS=n&amp;CSC=Y&amp;PAGE=toc&amp;D=yrovft&amp;AN=00003072-000000000-00000")</f>
        <v>http://ovidsp.ovid.com/ovidweb.cgi?T=JS&amp;NEWS=n&amp;CSC=Y&amp;PAGE=toc&amp;D=yrovft&amp;AN=00003072-000000000-00000</v>
      </c>
      <c r="N45" s="6" t="s">
        <v>1117</v>
      </c>
      <c r="O45" s="6" t="s">
        <v>1345</v>
      </c>
      <c r="P45" s="6" t="b">
        <v>0</v>
      </c>
      <c r="Q45" s="8" t="s">
        <v>1117</v>
      </c>
    </row>
    <row r="46" spans="1:17" x14ac:dyDescent="0.25">
      <c r="A46" s="4" t="s">
        <v>1200</v>
      </c>
      <c r="B46" s="6" t="s">
        <v>1252</v>
      </c>
      <c r="C46" s="6" t="s">
        <v>1617</v>
      </c>
      <c r="D46" s="6" t="s">
        <v>256</v>
      </c>
      <c r="E46" s="5">
        <v>44137</v>
      </c>
      <c r="F46" s="6">
        <v>471</v>
      </c>
      <c r="G46" s="6">
        <v>1</v>
      </c>
      <c r="H46" s="6">
        <v>478</v>
      </c>
      <c r="I46" s="6">
        <v>11</v>
      </c>
      <c r="J46" s="6" t="s">
        <v>1302</v>
      </c>
      <c r="K46" s="6" t="s">
        <v>969</v>
      </c>
      <c r="L46" s="6" t="s">
        <v>1046</v>
      </c>
      <c r="M46" s="7" t="str">
        <f>HYPERLINK("http://ovidsp.ovid.com/ovidweb.cgi?T=JS&amp;NEWS=n&amp;CSC=Y&amp;PAGE=toc&amp;D=yrovft&amp;AN=00003086-000000000-00000","http://ovidsp.ovid.com/ovidweb.cgi?T=JS&amp;NEWS=n&amp;CSC=Y&amp;PAGE=toc&amp;D=yrovft&amp;AN=00003086-000000000-00000")</f>
        <v>http://ovidsp.ovid.com/ovidweb.cgi?T=JS&amp;NEWS=n&amp;CSC=Y&amp;PAGE=toc&amp;D=yrovft&amp;AN=00003086-000000000-00000</v>
      </c>
      <c r="N46" s="6" t="s">
        <v>1117</v>
      </c>
      <c r="O46" s="6" t="s">
        <v>620</v>
      </c>
      <c r="P46" s="6" t="b">
        <v>1</v>
      </c>
      <c r="Q46" s="8" t="s">
        <v>1407</v>
      </c>
    </row>
    <row r="47" spans="1:17" x14ac:dyDescent="0.25">
      <c r="A47" s="4" t="s">
        <v>611</v>
      </c>
      <c r="B47" s="6" t="s">
        <v>158</v>
      </c>
      <c r="C47" s="6" t="s">
        <v>1703</v>
      </c>
      <c r="D47" s="6" t="s">
        <v>256</v>
      </c>
      <c r="E47" s="5">
        <v>44137</v>
      </c>
      <c r="F47" s="6">
        <v>22</v>
      </c>
      <c r="G47" s="6">
        <v>1</v>
      </c>
      <c r="H47" s="6">
        <v>27</v>
      </c>
      <c r="I47" s="6">
        <v>4</v>
      </c>
      <c r="J47" s="6" t="s">
        <v>1625</v>
      </c>
      <c r="K47" s="6" t="s">
        <v>1349</v>
      </c>
      <c r="L47" s="6" t="s">
        <v>267</v>
      </c>
      <c r="M47" s="7" t="str">
        <f>HYPERLINK("http://ovidsp.ovid.com/ovidweb.cgi?T=JS&amp;NEWS=n&amp;CSC=Y&amp;PAGE=toc&amp;D=yrovft&amp;AN=00045413-000000000-00000","http://ovidsp.ovid.com/ovidweb.cgi?T=JS&amp;NEWS=n&amp;CSC=Y&amp;PAGE=toc&amp;D=yrovft&amp;AN=00045413-000000000-00000")</f>
        <v>http://ovidsp.ovid.com/ovidweb.cgi?T=JS&amp;NEWS=n&amp;CSC=Y&amp;PAGE=toc&amp;D=yrovft&amp;AN=00045413-000000000-00000</v>
      </c>
      <c r="N47" s="6" t="s">
        <v>1117</v>
      </c>
      <c r="O47" s="6" t="s">
        <v>1362</v>
      </c>
      <c r="P47" s="6" t="b">
        <v>0</v>
      </c>
      <c r="Q47" s="8" t="s">
        <v>1117</v>
      </c>
    </row>
    <row r="48" spans="1:17" x14ac:dyDescent="0.25">
      <c r="A48" s="4" t="s">
        <v>173</v>
      </c>
      <c r="B48" s="6" t="s">
        <v>936</v>
      </c>
      <c r="C48" s="6" t="s">
        <v>31</v>
      </c>
      <c r="D48" s="6" t="s">
        <v>256</v>
      </c>
      <c r="E48" s="5">
        <v>44137</v>
      </c>
      <c r="F48" s="6">
        <v>29</v>
      </c>
      <c r="G48" s="6">
        <v>1</v>
      </c>
      <c r="H48" s="6">
        <v>33</v>
      </c>
      <c r="I48" s="6">
        <v>8</v>
      </c>
      <c r="J48" s="6" t="s">
        <v>421</v>
      </c>
      <c r="K48" s="6" t="s">
        <v>1713</v>
      </c>
      <c r="L48" s="6" t="s">
        <v>739</v>
      </c>
      <c r="M48" s="7" t="str">
        <f>HYPERLINK("http://ovidsp.ovid.com/ovidweb.cgi?T=JS&amp;NEWS=n&amp;CSC=Y&amp;PAGE=toc&amp;D=yrovft&amp;AN=01933606-000000000-00000","http://ovidsp.ovid.com/ovidweb.cgi?T=JS&amp;NEWS=n&amp;CSC=Y&amp;PAGE=toc&amp;D=yrovft&amp;AN=01933606-000000000-00000")</f>
        <v>http://ovidsp.ovid.com/ovidweb.cgi?T=JS&amp;NEWS=n&amp;CSC=Y&amp;PAGE=toc&amp;D=yrovft&amp;AN=01933606-000000000-00000</v>
      </c>
      <c r="N48" s="6" t="s">
        <v>1117</v>
      </c>
      <c r="O48" s="6" t="s">
        <v>1055</v>
      </c>
      <c r="P48" s="6" t="b">
        <v>1</v>
      </c>
      <c r="Q48" s="8" t="s">
        <v>1494</v>
      </c>
    </row>
    <row r="49" spans="1:17" x14ac:dyDescent="0.25">
      <c r="A49" s="4" t="s">
        <v>1521</v>
      </c>
      <c r="B49" s="6" t="s">
        <v>1740</v>
      </c>
      <c r="C49" s="6" t="s">
        <v>781</v>
      </c>
      <c r="D49" s="6" t="s">
        <v>256</v>
      </c>
      <c r="E49" s="5">
        <v>44137</v>
      </c>
      <c r="F49" s="6">
        <v>28</v>
      </c>
      <c r="G49" s="6">
        <v>1</v>
      </c>
      <c r="H49" s="6">
        <v>33</v>
      </c>
      <c r="I49" s="6">
        <v>3</v>
      </c>
      <c r="J49" s="6" t="s">
        <v>1231</v>
      </c>
      <c r="K49" s="6" t="s">
        <v>365</v>
      </c>
      <c r="L49" s="6" t="s">
        <v>553</v>
      </c>
      <c r="M49" s="7" t="str">
        <f>HYPERLINK("http://ovidsp.ovid.com/ovidweb.cgi?T=JS&amp;NEWS=n&amp;CSC=Y&amp;PAGE=toc&amp;D=yrovft&amp;AN=00146965-000000000-00000","http://ovidsp.ovid.com/ovidweb.cgi?T=JS&amp;NEWS=n&amp;CSC=Y&amp;PAGE=toc&amp;D=yrovft&amp;AN=00146965-000000000-00000")</f>
        <v>http://ovidsp.ovid.com/ovidweb.cgi?T=JS&amp;NEWS=n&amp;CSC=Y&amp;PAGE=toc&amp;D=yrovft&amp;AN=00146965-000000000-00000</v>
      </c>
      <c r="N49" s="6" t="s">
        <v>1117</v>
      </c>
      <c r="O49" s="6" t="s">
        <v>848</v>
      </c>
      <c r="P49" s="6" t="b">
        <v>1</v>
      </c>
      <c r="Q49" s="8" t="s">
        <v>726</v>
      </c>
    </row>
    <row r="50" spans="1:17" x14ac:dyDescent="0.25">
      <c r="A50" s="4" t="s">
        <v>632</v>
      </c>
      <c r="B50" s="6" t="s">
        <v>1436</v>
      </c>
      <c r="C50" s="6" t="s">
        <v>1499</v>
      </c>
      <c r="D50" s="6" t="s">
        <v>256</v>
      </c>
      <c r="E50" s="5">
        <v>44137</v>
      </c>
      <c r="F50" s="6">
        <v>38</v>
      </c>
      <c r="G50" s="6">
        <v>3</v>
      </c>
      <c r="H50" s="6">
        <v>43</v>
      </c>
      <c r="I50" s="6">
        <v>23</v>
      </c>
      <c r="J50" s="6" t="s">
        <v>560</v>
      </c>
      <c r="K50" s="6" t="s">
        <v>956</v>
      </c>
      <c r="L50" s="6" t="s">
        <v>53</v>
      </c>
      <c r="M50" s="7" t="str">
        <f>HYPERLINK("http://ovidsp.ovid.com/ovidweb.cgi?T=JS&amp;NEWS=n&amp;CSC=Y&amp;PAGE=toc&amp;D=yrovft&amp;AN=00219246-000000000-00000","http://ovidsp.ovid.com/ovidweb.cgi?T=JS&amp;NEWS=n&amp;CSC=Y&amp;PAGE=toc&amp;D=yrovft&amp;AN=00219246-000000000-00000")</f>
        <v>http://ovidsp.ovid.com/ovidweb.cgi?T=JS&amp;NEWS=n&amp;CSC=Y&amp;PAGE=toc&amp;D=yrovft&amp;AN=00219246-000000000-00000</v>
      </c>
      <c r="N50" s="6" t="s">
        <v>1117</v>
      </c>
      <c r="O50" s="6" t="s">
        <v>1504</v>
      </c>
      <c r="P50" s="6" t="b">
        <v>0</v>
      </c>
      <c r="Q50" s="8" t="s">
        <v>1117</v>
      </c>
    </row>
    <row r="51" spans="1:17" x14ac:dyDescent="0.25">
      <c r="A51" s="4" t="s">
        <v>132</v>
      </c>
      <c r="B51" s="6" t="s">
        <v>1095</v>
      </c>
      <c r="C51" s="6" t="s">
        <v>1117</v>
      </c>
      <c r="D51" s="6" t="s">
        <v>256</v>
      </c>
      <c r="E51" s="5">
        <v>44137</v>
      </c>
      <c r="F51" s="6">
        <v>36</v>
      </c>
      <c r="G51" s="6">
        <v>25</v>
      </c>
      <c r="H51" s="6">
        <v>42</v>
      </c>
      <c r="I51" s="6">
        <v>13</v>
      </c>
      <c r="J51" s="6" t="s">
        <v>163</v>
      </c>
      <c r="K51" s="6" t="s">
        <v>1260</v>
      </c>
      <c r="L51" s="6" t="s">
        <v>1198</v>
      </c>
      <c r="M51" s="7" t="str">
        <f>HYPERLINK("http://ovidsp.ovid.com/ovidweb.cgi?T=JS&amp;NEWS=n&amp;CSC=Y&amp;PAGE=toc&amp;D=yrovft&amp;AN=00029679-000000000-00000","http://ovidsp.ovid.com/ovidweb.cgi?T=JS&amp;NEWS=n&amp;CSC=Y&amp;PAGE=toc&amp;D=yrovft&amp;AN=00029679-000000000-00000")</f>
        <v>http://ovidsp.ovid.com/ovidweb.cgi?T=JS&amp;NEWS=n&amp;CSC=Y&amp;PAGE=toc&amp;D=yrovft&amp;AN=00029679-000000000-00000</v>
      </c>
      <c r="N51" s="6" t="s">
        <v>1117</v>
      </c>
      <c r="O51" s="6" t="s">
        <v>1450</v>
      </c>
      <c r="P51" s="6" t="b">
        <v>0</v>
      </c>
      <c r="Q51" s="8" t="s">
        <v>1117</v>
      </c>
    </row>
    <row r="52" spans="1:17" x14ac:dyDescent="0.25">
      <c r="A52" s="4" t="s">
        <v>932</v>
      </c>
      <c r="B52" s="6" t="s">
        <v>744</v>
      </c>
      <c r="C52" s="6" t="s">
        <v>33</v>
      </c>
      <c r="D52" s="6" t="s">
        <v>256</v>
      </c>
      <c r="E52" s="5">
        <v>44137</v>
      </c>
      <c r="F52" s="6">
        <v>16</v>
      </c>
      <c r="G52" s="6">
        <v>1</v>
      </c>
      <c r="H52" s="6">
        <v>21</v>
      </c>
      <c r="I52" s="6">
        <v>11</v>
      </c>
      <c r="J52" s="6" t="s">
        <v>565</v>
      </c>
      <c r="K52" s="6" t="s">
        <v>1349</v>
      </c>
      <c r="L52" s="6" t="s">
        <v>1046</v>
      </c>
      <c r="M52" s="7" t="str">
        <f>HYPERLINK("http://ovidsp.ovid.com/ovidweb.cgi?T=JS&amp;NEWS=n&amp;CSC=Y&amp;PAGE=toc&amp;D=yrovft&amp;AN=01075922-000000000-00000","http://ovidsp.ovid.com/ovidweb.cgi?T=JS&amp;NEWS=n&amp;CSC=Y&amp;PAGE=toc&amp;D=yrovft&amp;AN=01075922-000000000-00000")</f>
        <v>http://ovidsp.ovid.com/ovidweb.cgi?T=JS&amp;NEWS=n&amp;CSC=Y&amp;PAGE=toc&amp;D=yrovft&amp;AN=01075922-000000000-00000</v>
      </c>
      <c r="N52" s="6" t="s">
        <v>1117</v>
      </c>
      <c r="O52" s="6" t="s">
        <v>884</v>
      </c>
      <c r="P52" s="6" t="b">
        <v>0</v>
      </c>
      <c r="Q52" s="8" t="s">
        <v>1117</v>
      </c>
    </row>
    <row r="53" spans="1:17" x14ac:dyDescent="0.25">
      <c r="A53" s="4" t="s">
        <v>175</v>
      </c>
      <c r="B53" s="6" t="s">
        <v>1341</v>
      </c>
      <c r="C53" s="6" t="s">
        <v>1757</v>
      </c>
      <c r="D53" s="6" t="s">
        <v>256</v>
      </c>
      <c r="E53" s="5">
        <v>44137</v>
      </c>
      <c r="F53" s="6">
        <v>34</v>
      </c>
      <c r="G53" s="6">
        <v>1</v>
      </c>
      <c r="H53" s="6">
        <v>39</v>
      </c>
      <c r="I53" s="6">
        <v>11</v>
      </c>
      <c r="J53" s="6" t="s">
        <v>565</v>
      </c>
      <c r="K53" s="6" t="s">
        <v>1349</v>
      </c>
      <c r="L53" s="6" t="s">
        <v>1046</v>
      </c>
      <c r="M53" s="7" t="str">
        <f>HYPERLINK("http://ovidsp.ovid.com/ovidweb.cgi?T=JS&amp;NEWS=n&amp;CSC=Y&amp;PAGE=toc&amp;D=yrovft&amp;AN=00003226-000000000-00000","http://ovidsp.ovid.com/ovidweb.cgi?T=JS&amp;NEWS=n&amp;CSC=Y&amp;PAGE=toc&amp;D=yrovft&amp;AN=00003226-000000000-00000")</f>
        <v>http://ovidsp.ovid.com/ovidweb.cgi?T=JS&amp;NEWS=n&amp;CSC=Y&amp;PAGE=toc&amp;D=yrovft&amp;AN=00003226-000000000-00000</v>
      </c>
      <c r="N53" s="6" t="s">
        <v>1117</v>
      </c>
      <c r="O53" s="6" t="s">
        <v>543</v>
      </c>
      <c r="P53" s="6" t="b">
        <v>0</v>
      </c>
      <c r="Q53" s="8" t="s">
        <v>1117</v>
      </c>
    </row>
    <row r="54" spans="1:17" x14ac:dyDescent="0.25">
      <c r="A54" s="4" t="s">
        <v>1569</v>
      </c>
      <c r="B54" s="6" t="s">
        <v>809</v>
      </c>
      <c r="C54" s="6" t="s">
        <v>1398</v>
      </c>
      <c r="D54" s="6" t="s">
        <v>256</v>
      </c>
      <c r="E54" s="5">
        <v>44137</v>
      </c>
      <c r="F54" s="6">
        <v>26</v>
      </c>
      <c r="G54" s="6">
        <v>1</v>
      </c>
      <c r="H54" s="6">
        <v>31</v>
      </c>
      <c r="I54" s="6">
        <v>7</v>
      </c>
      <c r="J54" s="6" t="s">
        <v>565</v>
      </c>
      <c r="K54" s="6" t="s">
        <v>1349</v>
      </c>
      <c r="L54" s="6" t="s">
        <v>1046</v>
      </c>
      <c r="M54" s="7" t="str">
        <f>HYPERLINK("http://ovidsp.ovid.com/ovidweb.cgi?T=JS&amp;NEWS=n&amp;CSC=Y&amp;PAGE=toc&amp;D=yrovft&amp;AN=00019501-000000000-00000","http://ovidsp.ovid.com/ovidweb.cgi?T=JS&amp;NEWS=n&amp;CSC=Y&amp;PAGE=toc&amp;D=yrovft&amp;AN=00019501-000000000-00000")</f>
        <v>http://ovidsp.ovid.com/ovidweb.cgi?T=JS&amp;NEWS=n&amp;CSC=Y&amp;PAGE=toc&amp;D=yrovft&amp;AN=00019501-000000000-00000</v>
      </c>
      <c r="N54" s="6" t="s">
        <v>1117</v>
      </c>
      <c r="O54" s="6" t="s">
        <v>1559</v>
      </c>
      <c r="P54" s="6" t="b">
        <v>1</v>
      </c>
      <c r="Q54" s="8" t="s">
        <v>585</v>
      </c>
    </row>
    <row r="55" spans="1:17" x14ac:dyDescent="0.25">
      <c r="A55" s="4" t="s">
        <v>274</v>
      </c>
      <c r="B55" s="6" t="s">
        <v>420</v>
      </c>
      <c r="C55" s="6" t="s">
        <v>1385</v>
      </c>
      <c r="D55" s="6" t="s">
        <v>256</v>
      </c>
      <c r="E55" s="5">
        <v>44137</v>
      </c>
      <c r="F55" s="6">
        <v>43</v>
      </c>
      <c r="G55" s="6">
        <v>1</v>
      </c>
      <c r="H55" s="6">
        <v>48</v>
      </c>
      <c r="I55" s="6">
        <v>11</v>
      </c>
      <c r="J55" s="6" t="s">
        <v>565</v>
      </c>
      <c r="K55" s="6" t="s">
        <v>1349</v>
      </c>
      <c r="L55" s="6" t="s">
        <v>1046</v>
      </c>
      <c r="M55" s="7" t="str">
        <f>HYPERLINK("http://ovidsp.ovid.com/ovidweb.cgi?T=JS&amp;NEWS=n&amp;CSC=Y&amp;PAGE=toc&amp;D=yrovft&amp;AN=00003246-000000000-00000","http://ovidsp.ovid.com/ovidweb.cgi?T=JS&amp;NEWS=n&amp;CSC=Y&amp;PAGE=toc&amp;D=yrovft&amp;AN=00003246-000000000-00000")</f>
        <v>http://ovidsp.ovid.com/ovidweb.cgi?T=JS&amp;NEWS=n&amp;CSC=Y&amp;PAGE=toc&amp;D=yrovft&amp;AN=00003246-000000000-00000</v>
      </c>
      <c r="N55" s="6" t="s">
        <v>1117</v>
      </c>
      <c r="O55" s="6" t="s">
        <v>1549</v>
      </c>
      <c r="P55" s="6" t="b">
        <v>1</v>
      </c>
      <c r="Q55" s="8" t="s">
        <v>84</v>
      </c>
    </row>
    <row r="56" spans="1:17" x14ac:dyDescent="0.25">
      <c r="A56" s="4" t="s">
        <v>706</v>
      </c>
      <c r="B56" s="6" t="s">
        <v>886</v>
      </c>
      <c r="C56" s="6" t="s">
        <v>702</v>
      </c>
      <c r="D56" s="6" t="s">
        <v>256</v>
      </c>
      <c r="E56" s="5">
        <v>44137</v>
      </c>
      <c r="F56" s="6">
        <v>38</v>
      </c>
      <c r="G56" s="6">
        <v>1</v>
      </c>
      <c r="H56" s="6">
        <v>43</v>
      </c>
      <c r="I56" s="6">
        <v>4</v>
      </c>
      <c r="J56" s="6" t="s">
        <v>486</v>
      </c>
      <c r="K56" s="6" t="s">
        <v>1671</v>
      </c>
      <c r="L56" s="6" t="s">
        <v>206</v>
      </c>
      <c r="M56" s="7" t="str">
        <f>HYPERLINK("http://ovidsp.ovid.com/ovidweb.cgi?T=JS&amp;NEWS=n&amp;CSC=Y&amp;PAGE=toc&amp;D=yrovft&amp;AN=00002727-000000000-00000","http://ovidsp.ovid.com/ovidweb.cgi?T=JS&amp;NEWS=n&amp;CSC=Y&amp;PAGE=toc&amp;D=yrovft&amp;AN=00002727-000000000-00000")</f>
        <v>http://ovidsp.ovid.com/ovidweb.cgi?T=JS&amp;NEWS=n&amp;CSC=Y&amp;PAGE=toc&amp;D=yrovft&amp;AN=00002727-000000000-00000</v>
      </c>
      <c r="N56" s="6" t="s">
        <v>1117</v>
      </c>
      <c r="O56" s="6" t="s">
        <v>667</v>
      </c>
      <c r="P56" s="6" t="b">
        <v>0</v>
      </c>
      <c r="Q56" s="8" t="s">
        <v>1117</v>
      </c>
    </row>
    <row r="57" spans="1:17" x14ac:dyDescent="0.25">
      <c r="A57" s="4" t="s">
        <v>1361</v>
      </c>
      <c r="B57" s="6" t="s">
        <v>1202</v>
      </c>
      <c r="C57" s="6" t="s">
        <v>752</v>
      </c>
      <c r="D57" s="6" t="s">
        <v>256</v>
      </c>
      <c r="E57" s="5">
        <v>44137</v>
      </c>
      <c r="F57" s="6">
        <v>14</v>
      </c>
      <c r="G57" s="6">
        <v>1</v>
      </c>
      <c r="H57" s="6">
        <v>19</v>
      </c>
      <c r="I57" s="6">
        <v>3</v>
      </c>
      <c r="J57" s="6" t="s">
        <v>1231</v>
      </c>
      <c r="K57" s="6" t="s">
        <v>365</v>
      </c>
      <c r="L57" s="6" t="s">
        <v>553</v>
      </c>
      <c r="M57" s="7" t="str">
        <f>HYPERLINK("http://ovidsp.ovid.com/ovidweb.cgi?T=JS&amp;NEWS=n&amp;CSC=Y&amp;PAGE=toc&amp;D=yrovft&amp;AN=00132577-000000000-00000","http://ovidsp.ovid.com/ovidweb.cgi?T=JS&amp;NEWS=n&amp;CSC=Y&amp;PAGE=toc&amp;D=yrovft&amp;AN=00132577-000000000-00000")</f>
        <v>http://ovidsp.ovid.com/ovidweb.cgi?T=JS&amp;NEWS=n&amp;CSC=Y&amp;PAGE=toc&amp;D=yrovft&amp;AN=00132577-000000000-00000</v>
      </c>
      <c r="N57" s="6" t="s">
        <v>1117</v>
      </c>
      <c r="O57" s="6" t="s">
        <v>245</v>
      </c>
      <c r="P57" s="6" t="b">
        <v>1</v>
      </c>
      <c r="Q57" s="8" t="s">
        <v>2</v>
      </c>
    </row>
    <row r="58" spans="1:17" x14ac:dyDescent="0.25">
      <c r="A58" s="4" t="s">
        <v>202</v>
      </c>
      <c r="B58" s="6" t="s">
        <v>1741</v>
      </c>
      <c r="C58" s="6" t="s">
        <v>1572</v>
      </c>
      <c r="D58" s="6" t="s">
        <v>256</v>
      </c>
      <c r="E58" s="5">
        <v>44137</v>
      </c>
      <c r="F58" s="6">
        <v>15</v>
      </c>
      <c r="G58" s="6">
        <v>1</v>
      </c>
      <c r="H58" s="6">
        <v>20</v>
      </c>
      <c r="I58" s="6">
        <v>5</v>
      </c>
      <c r="J58" s="6" t="s">
        <v>1686</v>
      </c>
      <c r="K58" s="6" t="s">
        <v>210</v>
      </c>
      <c r="L58" s="6" t="s">
        <v>739</v>
      </c>
      <c r="M58" s="7" t="str">
        <f>HYPERLINK("http://ovidsp.ovid.com/ovidweb.cgi?T=JS&amp;NEWS=n&amp;CSC=Y&amp;PAGE=toc&amp;D=yrovft&amp;AN=00130832-000000000-00000","http://ovidsp.ovid.com/ovidweb.cgi?T=JS&amp;NEWS=n&amp;CSC=Y&amp;PAGE=toc&amp;D=yrovft&amp;AN=00130832-000000000-00000")</f>
        <v>http://ovidsp.ovid.com/ovidweb.cgi?T=JS&amp;NEWS=n&amp;CSC=Y&amp;PAGE=toc&amp;D=yrovft&amp;AN=00130832-000000000-00000</v>
      </c>
      <c r="N58" s="6" t="s">
        <v>1117</v>
      </c>
      <c r="O58" s="6" t="s">
        <v>847</v>
      </c>
      <c r="P58" s="6" t="b">
        <v>0</v>
      </c>
      <c r="Q58" s="8" t="s">
        <v>1117</v>
      </c>
    </row>
    <row r="59" spans="1:17" x14ac:dyDescent="0.25">
      <c r="A59" s="4" t="s">
        <v>803</v>
      </c>
      <c r="B59" s="6" t="s">
        <v>841</v>
      </c>
      <c r="C59" s="6" t="s">
        <v>1408</v>
      </c>
      <c r="D59" s="6" t="s">
        <v>256</v>
      </c>
      <c r="E59" s="5">
        <v>44137</v>
      </c>
      <c r="F59" s="6">
        <v>28</v>
      </c>
      <c r="G59" s="6">
        <v>1</v>
      </c>
      <c r="H59" s="6">
        <v>33</v>
      </c>
      <c r="I59" s="6">
        <v>5</v>
      </c>
      <c r="J59" s="6" t="s">
        <v>1686</v>
      </c>
      <c r="K59" s="6" t="s">
        <v>210</v>
      </c>
      <c r="L59" s="6" t="s">
        <v>739</v>
      </c>
      <c r="M59" s="7" t="str">
        <f>HYPERLINK("http://ovidsp.ovid.com/ovidweb.cgi?T=JS&amp;NEWS=n&amp;CSC=Y&amp;PAGE=toc&amp;D=yrovft&amp;AN=00001503-000000000-00000","http://ovidsp.ovid.com/ovidweb.cgi?T=JS&amp;NEWS=n&amp;CSC=Y&amp;PAGE=toc&amp;D=yrovft&amp;AN=00001503-000000000-00000")</f>
        <v>http://ovidsp.ovid.com/ovidweb.cgi?T=JS&amp;NEWS=n&amp;CSC=Y&amp;PAGE=toc&amp;D=yrovft&amp;AN=00001503-000000000-00000</v>
      </c>
      <c r="N59" s="6" t="s">
        <v>1117</v>
      </c>
      <c r="O59" s="6" t="s">
        <v>865</v>
      </c>
      <c r="P59" s="6" t="b">
        <v>0</v>
      </c>
      <c r="Q59" s="8" t="s">
        <v>1117</v>
      </c>
    </row>
    <row r="60" spans="1:17" x14ac:dyDescent="0.25">
      <c r="A60" s="4" t="s">
        <v>225</v>
      </c>
      <c r="B60" s="6" t="s">
        <v>133</v>
      </c>
      <c r="C60" s="6" t="s">
        <v>775</v>
      </c>
      <c r="D60" s="6" t="s">
        <v>256</v>
      </c>
      <c r="E60" s="5">
        <v>44137</v>
      </c>
      <c r="F60" s="6">
        <v>30</v>
      </c>
      <c r="G60" s="6">
        <v>1</v>
      </c>
      <c r="H60" s="6">
        <v>35</v>
      </c>
      <c r="I60" s="6">
        <v>6</v>
      </c>
      <c r="J60" s="6" t="s">
        <v>565</v>
      </c>
      <c r="K60" s="6" t="s">
        <v>1349</v>
      </c>
      <c r="L60" s="6" t="s">
        <v>1046</v>
      </c>
      <c r="M60" s="7" t="str">
        <f>HYPERLINK("http://ovidsp.ovid.com/ovidweb.cgi?T=JS&amp;NEWS=n&amp;CSC=Y&amp;PAGE=toc&amp;D=yrovft&amp;AN=00001573-000000000-00000","http://ovidsp.ovid.com/ovidweb.cgi?T=JS&amp;NEWS=n&amp;CSC=Y&amp;PAGE=toc&amp;D=yrovft&amp;AN=00001573-000000000-00000")</f>
        <v>http://ovidsp.ovid.com/ovidweb.cgi?T=JS&amp;NEWS=n&amp;CSC=Y&amp;PAGE=toc&amp;D=yrovft&amp;AN=00001573-000000000-00000</v>
      </c>
      <c r="N60" s="6" t="s">
        <v>1117</v>
      </c>
      <c r="O60" s="6" t="s">
        <v>1213</v>
      </c>
      <c r="P60" s="6" t="b">
        <v>1</v>
      </c>
      <c r="Q60" s="8" t="s">
        <v>20</v>
      </c>
    </row>
    <row r="61" spans="1:17" x14ac:dyDescent="0.25">
      <c r="A61" s="4" t="s">
        <v>979</v>
      </c>
      <c r="B61" s="6" t="s">
        <v>1280</v>
      </c>
      <c r="C61" s="6" t="s">
        <v>1320</v>
      </c>
      <c r="D61" s="6" t="s">
        <v>256</v>
      </c>
      <c r="E61" s="5">
        <v>44137</v>
      </c>
      <c r="F61" s="6">
        <v>18</v>
      </c>
      <c r="G61" s="6">
        <v>1</v>
      </c>
      <c r="H61" s="6">
        <v>23</v>
      </c>
      <c r="I61" s="6">
        <v>6</v>
      </c>
      <c r="J61" s="6" t="s">
        <v>565</v>
      </c>
      <c r="K61" s="6" t="s">
        <v>1349</v>
      </c>
      <c r="L61" s="6" t="s">
        <v>1046</v>
      </c>
      <c r="M61" s="7" t="str">
        <f>HYPERLINK("http://ovidsp.ovid.com/ovidweb.cgi?T=JS&amp;NEWS=n&amp;CSC=Y&amp;PAGE=toc&amp;D=yrovft&amp;AN=00075197-000000000-00000","http://ovidsp.ovid.com/ovidweb.cgi?T=JS&amp;NEWS=n&amp;CSC=Y&amp;PAGE=toc&amp;D=yrovft&amp;AN=00075197-000000000-00000")</f>
        <v>http://ovidsp.ovid.com/ovidweb.cgi?T=JS&amp;NEWS=n&amp;CSC=Y&amp;PAGE=toc&amp;D=yrovft&amp;AN=00075197-000000000-00000</v>
      </c>
      <c r="N61" s="6" t="s">
        <v>1117</v>
      </c>
      <c r="O61" s="6" t="s">
        <v>894</v>
      </c>
      <c r="P61" s="6" t="b">
        <v>1</v>
      </c>
      <c r="Q61" s="8" t="s">
        <v>484</v>
      </c>
    </row>
    <row r="62" spans="1:17" x14ac:dyDescent="0.25">
      <c r="A62" s="4" t="s">
        <v>1701</v>
      </c>
      <c r="B62" s="6" t="s">
        <v>271</v>
      </c>
      <c r="C62" s="6" t="s">
        <v>948</v>
      </c>
      <c r="D62" s="6" t="s">
        <v>256</v>
      </c>
      <c r="E62" s="5">
        <v>44137</v>
      </c>
      <c r="F62" s="6">
        <v>21</v>
      </c>
      <c r="G62" s="6">
        <v>1</v>
      </c>
      <c r="H62" s="6">
        <v>26</v>
      </c>
      <c r="I62" s="6">
        <v>5</v>
      </c>
      <c r="J62" s="6" t="s">
        <v>1686</v>
      </c>
      <c r="K62" s="6" t="s">
        <v>210</v>
      </c>
      <c r="L62" s="6" t="s">
        <v>739</v>
      </c>
      <c r="M62" s="7" t="str">
        <f>HYPERLINK("http://ovidsp.ovid.com/ovidweb.cgi?T=JS&amp;NEWS=n&amp;CSC=Y&amp;PAGE=toc&amp;D=yrovft&amp;AN=00075198-000000000-00000","http://ovidsp.ovid.com/ovidweb.cgi?T=JS&amp;NEWS=n&amp;CSC=Y&amp;PAGE=toc&amp;D=yrovft&amp;AN=00075198-000000000-00000")</f>
        <v>http://ovidsp.ovid.com/ovidweb.cgi?T=JS&amp;NEWS=n&amp;CSC=Y&amp;PAGE=toc&amp;D=yrovft&amp;AN=00075198-000000000-00000</v>
      </c>
      <c r="N62" s="6" t="s">
        <v>1117</v>
      </c>
      <c r="O62" s="6" t="s">
        <v>1507</v>
      </c>
      <c r="P62" s="6" t="b">
        <v>1</v>
      </c>
      <c r="Q62" s="8" t="s">
        <v>550</v>
      </c>
    </row>
    <row r="63" spans="1:17" x14ac:dyDescent="0.25">
      <c r="A63" s="4" t="s">
        <v>1417</v>
      </c>
      <c r="B63" s="6" t="s">
        <v>1338</v>
      </c>
      <c r="C63" s="6" t="s">
        <v>916</v>
      </c>
      <c r="D63" s="6" t="s">
        <v>256</v>
      </c>
      <c r="E63" s="5">
        <v>44137</v>
      </c>
      <c r="F63" s="6">
        <v>22</v>
      </c>
      <c r="G63" s="6">
        <v>1</v>
      </c>
      <c r="H63" s="6">
        <v>27</v>
      </c>
      <c r="I63" s="6">
        <v>5</v>
      </c>
      <c r="J63" s="6" t="s">
        <v>1686</v>
      </c>
      <c r="K63" s="6" t="s">
        <v>210</v>
      </c>
      <c r="L63" s="6" t="s">
        <v>739</v>
      </c>
      <c r="M63" s="7" t="str">
        <f>HYPERLINK("http://ovidsp.ovid.com/ovidweb.cgi?T=JS&amp;NEWS=n&amp;CSC=Y&amp;PAGE=toc&amp;D=yrovft&amp;AN=01266029-000000000-00000","http://ovidsp.ovid.com/ovidweb.cgi?T=JS&amp;NEWS=n&amp;CSC=Y&amp;PAGE=toc&amp;D=yrovft&amp;AN=01266029-000000000-00000")</f>
        <v>http://ovidsp.ovid.com/ovidweb.cgi?T=JS&amp;NEWS=n&amp;CSC=Y&amp;PAGE=toc&amp;D=yrovft&amp;AN=01266029-000000000-00000</v>
      </c>
      <c r="N63" s="6" t="s">
        <v>1117</v>
      </c>
      <c r="O63" s="6" t="s">
        <v>1459</v>
      </c>
      <c r="P63" s="6" t="b">
        <v>0</v>
      </c>
      <c r="Q63" s="8" t="s">
        <v>1117</v>
      </c>
    </row>
    <row r="64" spans="1:17" x14ac:dyDescent="0.25">
      <c r="A64" s="4" t="s">
        <v>1007</v>
      </c>
      <c r="B64" s="6" t="s">
        <v>653</v>
      </c>
      <c r="C64" s="6" t="s">
        <v>88</v>
      </c>
      <c r="D64" s="6" t="s">
        <v>256</v>
      </c>
      <c r="E64" s="5">
        <v>44137</v>
      </c>
      <c r="F64" s="6">
        <v>31</v>
      </c>
      <c r="G64" s="6">
        <v>1</v>
      </c>
      <c r="H64" s="6">
        <v>36</v>
      </c>
      <c r="I64" s="6">
        <v>6</v>
      </c>
      <c r="J64" s="6" t="s">
        <v>565</v>
      </c>
      <c r="K64" s="6" t="s">
        <v>1349</v>
      </c>
      <c r="L64" s="6" t="s">
        <v>1046</v>
      </c>
      <c r="M64" s="7" t="str">
        <f>HYPERLINK("http://ovidsp.ovid.com/ovidweb.cgi?T=JS&amp;NEWS=n&amp;CSC=Y&amp;PAGE=toc&amp;D=yrovft&amp;AN=00001574-000000000-00000","http://ovidsp.ovid.com/ovidweb.cgi?T=JS&amp;NEWS=n&amp;CSC=Y&amp;PAGE=toc&amp;D=yrovft&amp;AN=00001574-000000000-00000")</f>
        <v>http://ovidsp.ovid.com/ovidweb.cgi?T=JS&amp;NEWS=n&amp;CSC=Y&amp;PAGE=toc&amp;D=yrovft&amp;AN=00001574-000000000-00000</v>
      </c>
      <c r="N64" s="6" t="s">
        <v>1117</v>
      </c>
      <c r="O64" s="6" t="s">
        <v>309</v>
      </c>
      <c r="P64" s="6" t="b">
        <v>1</v>
      </c>
      <c r="Q64" s="8" t="s">
        <v>1024</v>
      </c>
    </row>
    <row r="65" spans="1:17" x14ac:dyDescent="0.25">
      <c r="A65" s="4" t="s">
        <v>722</v>
      </c>
      <c r="B65" s="6" t="s">
        <v>1575</v>
      </c>
      <c r="C65" s="6" t="s">
        <v>1323</v>
      </c>
      <c r="D65" s="6" t="s">
        <v>256</v>
      </c>
      <c r="E65" s="5">
        <v>44137</v>
      </c>
      <c r="F65" s="6">
        <v>22</v>
      </c>
      <c r="G65" s="6">
        <v>1</v>
      </c>
      <c r="H65" s="6">
        <v>27</v>
      </c>
      <c r="I65" s="6">
        <v>6</v>
      </c>
      <c r="J65" s="6" t="s">
        <v>565</v>
      </c>
      <c r="K65" s="6" t="s">
        <v>1349</v>
      </c>
      <c r="L65" s="6" t="s">
        <v>1046</v>
      </c>
      <c r="M65" s="7" t="str">
        <f>HYPERLINK("http://ovidsp.ovid.com/ovidweb.cgi?T=JS&amp;NEWS=n&amp;CSC=Y&amp;PAGE=toc&amp;D=yrovft&amp;AN=00062752-000000000-00000","http://ovidsp.ovid.com/ovidweb.cgi?T=JS&amp;NEWS=n&amp;CSC=Y&amp;PAGE=toc&amp;D=yrovft&amp;AN=00062752-000000000-00000")</f>
        <v>http://ovidsp.ovid.com/ovidweb.cgi?T=JS&amp;NEWS=n&amp;CSC=Y&amp;PAGE=toc&amp;D=yrovft&amp;AN=00062752-000000000-00000</v>
      </c>
      <c r="N65" s="6" t="s">
        <v>1117</v>
      </c>
      <c r="O65" s="6" t="s">
        <v>1637</v>
      </c>
      <c r="P65" s="6" t="b">
        <v>0</v>
      </c>
      <c r="Q65" s="8" t="s">
        <v>1117</v>
      </c>
    </row>
    <row r="66" spans="1:17" x14ac:dyDescent="0.25">
      <c r="A66" s="4" t="s">
        <v>800</v>
      </c>
      <c r="B66" s="6" t="s">
        <v>451</v>
      </c>
      <c r="C66" s="6" t="s">
        <v>378</v>
      </c>
      <c r="D66" s="6" t="s">
        <v>256</v>
      </c>
      <c r="E66" s="5">
        <v>44137</v>
      </c>
      <c r="F66" s="6">
        <v>10</v>
      </c>
      <c r="G66" s="6">
        <v>1</v>
      </c>
      <c r="H66" s="6">
        <v>15</v>
      </c>
      <c r="I66" s="6">
        <v>6</v>
      </c>
      <c r="J66" s="6" t="s">
        <v>565</v>
      </c>
      <c r="K66" s="6" t="s">
        <v>1349</v>
      </c>
      <c r="L66" s="6" t="s">
        <v>1046</v>
      </c>
      <c r="M66" s="7" t="str">
        <f>HYPERLINK("http://ovidsp.ovid.com/ovidweb.cgi?T=JS&amp;NEWS=n&amp;CSC=Y&amp;PAGE=toc&amp;D=yrovft&amp;AN=01222929-000000000-00000","http://ovidsp.ovid.com/ovidweb.cgi?T=JS&amp;NEWS=n&amp;CSC=Y&amp;PAGE=toc&amp;D=yrovft&amp;AN=01222929-000000000-00000")</f>
        <v>http://ovidsp.ovid.com/ovidweb.cgi?T=JS&amp;NEWS=n&amp;CSC=Y&amp;PAGE=toc&amp;D=yrovft&amp;AN=01222929-000000000-00000</v>
      </c>
      <c r="N66" s="6" t="s">
        <v>1117</v>
      </c>
      <c r="O66" s="6" t="s">
        <v>915</v>
      </c>
      <c r="P66" s="6" t="b">
        <v>1</v>
      </c>
      <c r="Q66" s="8" t="s">
        <v>1355</v>
      </c>
    </row>
    <row r="67" spans="1:17" x14ac:dyDescent="0.25">
      <c r="A67" s="4" t="s">
        <v>1551</v>
      </c>
      <c r="B67" s="6" t="s">
        <v>621</v>
      </c>
      <c r="C67" s="6" t="s">
        <v>723</v>
      </c>
      <c r="D67" s="6" t="s">
        <v>256</v>
      </c>
      <c r="E67" s="5">
        <v>44137</v>
      </c>
      <c r="F67" s="6">
        <v>28</v>
      </c>
      <c r="G67" s="6">
        <v>1</v>
      </c>
      <c r="H67" s="6">
        <v>33</v>
      </c>
      <c r="I67" s="6">
        <v>5</v>
      </c>
      <c r="J67" s="6" t="s">
        <v>1686</v>
      </c>
      <c r="K67" s="6" t="s">
        <v>210</v>
      </c>
      <c r="L67" s="6" t="s">
        <v>739</v>
      </c>
      <c r="M67" s="7" t="str">
        <f>HYPERLINK("http://ovidsp.ovid.com/ovidweb.cgi?T=JS&amp;NEWS=n&amp;CSC=Y&amp;PAGE=toc&amp;D=yrovft&amp;AN=00001432-000000000-00000","http://ovidsp.ovid.com/ovidweb.cgi?T=JS&amp;NEWS=n&amp;CSC=Y&amp;PAGE=toc&amp;D=yrovft&amp;AN=00001432-000000000-00000")</f>
        <v>http://ovidsp.ovid.com/ovidweb.cgi?T=JS&amp;NEWS=n&amp;CSC=Y&amp;PAGE=toc&amp;D=yrovft&amp;AN=00001432-000000000-00000</v>
      </c>
      <c r="N67" s="6" t="s">
        <v>1117</v>
      </c>
      <c r="O67" s="6" t="s">
        <v>1623</v>
      </c>
      <c r="P67" s="6" t="b">
        <v>1</v>
      </c>
      <c r="Q67" s="8" t="s">
        <v>1130</v>
      </c>
    </row>
    <row r="68" spans="1:17" x14ac:dyDescent="0.25">
      <c r="A68" s="4" t="s">
        <v>641</v>
      </c>
      <c r="B68" s="6" t="s">
        <v>1326</v>
      </c>
      <c r="C68" s="6" t="s">
        <v>99</v>
      </c>
      <c r="D68" s="6" t="s">
        <v>256</v>
      </c>
      <c r="E68" s="5">
        <v>44137</v>
      </c>
      <c r="F68" s="6">
        <v>26</v>
      </c>
      <c r="G68" s="6">
        <v>1</v>
      </c>
      <c r="H68" s="6">
        <v>31</v>
      </c>
      <c r="I68" s="6">
        <v>5</v>
      </c>
      <c r="J68" s="6" t="s">
        <v>1686</v>
      </c>
      <c r="K68" s="6" t="s">
        <v>210</v>
      </c>
      <c r="L68" s="6" t="s">
        <v>739</v>
      </c>
      <c r="M68" s="7" t="str">
        <f>HYPERLINK("http://ovidsp.ovid.com/ovidweb.cgi?T=JS&amp;NEWS=n&amp;CSC=Y&amp;PAGE=toc&amp;D=yrovft&amp;AN=00041433-000000000-00000","http://ovidsp.ovid.com/ovidweb.cgi?T=JS&amp;NEWS=n&amp;CSC=Y&amp;PAGE=toc&amp;D=yrovft&amp;AN=00041433-000000000-00000")</f>
        <v>http://ovidsp.ovid.com/ovidweb.cgi?T=JS&amp;NEWS=n&amp;CSC=Y&amp;PAGE=toc&amp;D=yrovft&amp;AN=00041433-000000000-00000</v>
      </c>
      <c r="N68" s="6" t="s">
        <v>1117</v>
      </c>
      <c r="O68" s="6" t="s">
        <v>1458</v>
      </c>
      <c r="P68" s="6" t="b">
        <v>1</v>
      </c>
      <c r="Q68" s="8" t="s">
        <v>435</v>
      </c>
    </row>
    <row r="69" spans="1:17" x14ac:dyDescent="0.25">
      <c r="A69" s="4" t="s">
        <v>1236</v>
      </c>
      <c r="B69" s="6" t="s">
        <v>556</v>
      </c>
      <c r="C69" s="6" t="s">
        <v>15</v>
      </c>
      <c r="D69" s="6" t="s">
        <v>256</v>
      </c>
      <c r="E69" s="5">
        <v>44137</v>
      </c>
      <c r="F69" s="6">
        <v>24</v>
      </c>
      <c r="G69" s="6">
        <v>1</v>
      </c>
      <c r="H69" s="6">
        <v>29</v>
      </c>
      <c r="I69" s="6">
        <v>6</v>
      </c>
      <c r="J69" s="6" t="s">
        <v>565</v>
      </c>
      <c r="K69" s="6" t="s">
        <v>1349</v>
      </c>
      <c r="L69" s="6" t="s">
        <v>1046</v>
      </c>
      <c r="M69" s="7" t="str">
        <f>HYPERLINK("http://ovidsp.ovid.com/ovidweb.cgi?T=JS&amp;NEWS=n&amp;CSC=Y&amp;PAGE=toc&amp;D=yrovft&amp;AN=00041552-000000000-00000","http://ovidsp.ovid.com/ovidweb.cgi?T=JS&amp;NEWS=n&amp;CSC=Y&amp;PAGE=toc&amp;D=yrovft&amp;AN=00041552-000000000-00000")</f>
        <v>http://ovidsp.ovid.com/ovidweb.cgi?T=JS&amp;NEWS=n&amp;CSC=Y&amp;PAGE=toc&amp;D=yrovft&amp;AN=00041552-000000000-00000</v>
      </c>
      <c r="N69" s="6" t="s">
        <v>1117</v>
      </c>
      <c r="O69" s="6" t="s">
        <v>1359</v>
      </c>
      <c r="P69" s="6" t="b">
        <v>1</v>
      </c>
      <c r="Q69" s="8" t="s">
        <v>995</v>
      </c>
    </row>
    <row r="70" spans="1:17" x14ac:dyDescent="0.25">
      <c r="A70" s="4" t="s">
        <v>1167</v>
      </c>
      <c r="B70" s="6" t="s">
        <v>489</v>
      </c>
      <c r="C70" s="6" t="s">
        <v>453</v>
      </c>
      <c r="D70" s="6" t="s">
        <v>256</v>
      </c>
      <c r="E70" s="5">
        <v>44137</v>
      </c>
      <c r="F70" s="6">
        <v>28</v>
      </c>
      <c r="G70" s="6">
        <v>1</v>
      </c>
      <c r="H70" s="6">
        <v>33</v>
      </c>
      <c r="I70" s="6">
        <v>5</v>
      </c>
      <c r="J70" s="6" t="s">
        <v>1686</v>
      </c>
      <c r="K70" s="6" t="s">
        <v>210</v>
      </c>
      <c r="L70" s="6" t="s">
        <v>739</v>
      </c>
      <c r="M70" s="7" t="str">
        <f>HYPERLINK("http://ovidsp.ovid.com/ovidweb.cgi?T=JS&amp;NEWS=n&amp;CSC=Y&amp;PAGE=toc&amp;D=yrovft&amp;AN=00019052-000000000-00000","http://ovidsp.ovid.com/ovidweb.cgi?T=JS&amp;NEWS=n&amp;CSC=Y&amp;PAGE=toc&amp;D=yrovft&amp;AN=00019052-000000000-00000")</f>
        <v>http://ovidsp.ovid.com/ovidweb.cgi?T=JS&amp;NEWS=n&amp;CSC=Y&amp;PAGE=toc&amp;D=yrovft&amp;AN=00019052-000000000-00000</v>
      </c>
      <c r="N70" s="6" t="s">
        <v>1117</v>
      </c>
      <c r="O70" s="6" t="s">
        <v>1157</v>
      </c>
      <c r="P70" s="6" t="b">
        <v>1</v>
      </c>
      <c r="Q70" s="8" t="s">
        <v>143</v>
      </c>
    </row>
    <row r="71" spans="1:17" x14ac:dyDescent="0.25">
      <c r="A71" s="4" t="s">
        <v>1300</v>
      </c>
      <c r="B71" s="6" t="s">
        <v>922</v>
      </c>
      <c r="C71" s="6" t="s">
        <v>1463</v>
      </c>
      <c r="D71" s="6" t="s">
        <v>256</v>
      </c>
      <c r="E71" s="5">
        <v>44137</v>
      </c>
      <c r="F71" s="6">
        <v>27</v>
      </c>
      <c r="G71" s="6">
        <v>1</v>
      </c>
      <c r="H71" s="6">
        <v>32</v>
      </c>
      <c r="I71" s="6">
        <v>5</v>
      </c>
      <c r="J71" s="6" t="s">
        <v>1686</v>
      </c>
      <c r="K71" s="6" t="s">
        <v>210</v>
      </c>
      <c r="L71" s="6" t="s">
        <v>739</v>
      </c>
      <c r="M71" s="7" t="str">
        <f>HYPERLINK("http://ovidsp.ovid.com/ovidweb.cgi?T=JS&amp;NEWS=n&amp;CSC=Y&amp;PAGE=toc&amp;D=yrovft&amp;AN=00001703-000000000-00000","http://ovidsp.ovid.com/ovidweb.cgi?T=JS&amp;NEWS=n&amp;CSC=Y&amp;PAGE=toc&amp;D=yrovft&amp;AN=00001703-000000000-00000")</f>
        <v>http://ovidsp.ovid.com/ovidweb.cgi?T=JS&amp;NEWS=n&amp;CSC=Y&amp;PAGE=toc&amp;D=yrovft&amp;AN=00001703-000000000-00000</v>
      </c>
      <c r="N71" s="6" t="s">
        <v>1117</v>
      </c>
      <c r="O71" s="6" t="s">
        <v>1388</v>
      </c>
      <c r="P71" s="6" t="b">
        <v>1</v>
      </c>
      <c r="Q71" s="8" t="s">
        <v>168</v>
      </c>
    </row>
    <row r="72" spans="1:17" x14ac:dyDescent="0.25">
      <c r="A72" s="4" t="s">
        <v>1214</v>
      </c>
      <c r="B72" s="6" t="s">
        <v>917</v>
      </c>
      <c r="C72" s="6" t="s">
        <v>913</v>
      </c>
      <c r="D72" s="6" t="s">
        <v>256</v>
      </c>
      <c r="E72" s="5">
        <v>44137</v>
      </c>
      <c r="F72" s="6">
        <v>27</v>
      </c>
      <c r="G72" s="6">
        <v>1</v>
      </c>
      <c r="H72" s="6">
        <v>32</v>
      </c>
      <c r="I72" s="6">
        <v>6</v>
      </c>
      <c r="J72" s="6" t="s">
        <v>565</v>
      </c>
      <c r="K72" s="6" t="s">
        <v>1349</v>
      </c>
      <c r="L72" s="6" t="s">
        <v>1046</v>
      </c>
      <c r="M72" s="7" t="str">
        <f>HYPERLINK("http://ovidsp.ovid.com/ovidweb.cgi?T=JS&amp;NEWS=n&amp;CSC=Y&amp;PAGE=toc&amp;D=yrovft&amp;AN=00001622-000000000-00000","http://ovidsp.ovid.com/ovidweb.cgi?T=JS&amp;NEWS=n&amp;CSC=Y&amp;PAGE=toc&amp;D=yrovft&amp;AN=00001622-000000000-00000")</f>
        <v>http://ovidsp.ovid.com/ovidweb.cgi?T=JS&amp;NEWS=n&amp;CSC=Y&amp;PAGE=toc&amp;D=yrovft&amp;AN=00001622-000000000-00000</v>
      </c>
      <c r="N72" s="6" t="s">
        <v>1117</v>
      </c>
      <c r="O72" s="6" t="s">
        <v>999</v>
      </c>
      <c r="P72" s="6" t="b">
        <v>1</v>
      </c>
      <c r="Q72" s="8" t="s">
        <v>647</v>
      </c>
    </row>
    <row r="73" spans="1:17" x14ac:dyDescent="0.25">
      <c r="A73" s="4" t="s">
        <v>1270</v>
      </c>
      <c r="B73" s="6" t="s">
        <v>855</v>
      </c>
      <c r="C73" s="6" t="s">
        <v>830</v>
      </c>
      <c r="D73" s="6" t="s">
        <v>256</v>
      </c>
      <c r="E73" s="5">
        <v>44137</v>
      </c>
      <c r="F73" s="6">
        <v>26</v>
      </c>
      <c r="G73" s="6">
        <v>1</v>
      </c>
      <c r="H73" s="6">
        <v>31</v>
      </c>
      <c r="I73" s="6">
        <v>6</v>
      </c>
      <c r="J73" s="6" t="s">
        <v>565</v>
      </c>
      <c r="K73" s="6" t="s">
        <v>1349</v>
      </c>
      <c r="L73" s="6" t="s">
        <v>1046</v>
      </c>
      <c r="M73" s="7" t="str">
        <f>HYPERLINK("http://ovidsp.ovid.com/ovidweb.cgi?T=JS&amp;NEWS=n&amp;CSC=Y&amp;PAGE=toc&amp;D=yrovft&amp;AN=00055735-000000000-00000","http://ovidsp.ovid.com/ovidweb.cgi?T=JS&amp;NEWS=n&amp;CSC=Y&amp;PAGE=toc&amp;D=yrovft&amp;AN=00055735-000000000-00000")</f>
        <v>http://ovidsp.ovid.com/ovidweb.cgi?T=JS&amp;NEWS=n&amp;CSC=Y&amp;PAGE=toc&amp;D=yrovft&amp;AN=00055735-000000000-00000</v>
      </c>
      <c r="N73" s="6" t="s">
        <v>1117</v>
      </c>
      <c r="O73" s="6" t="s">
        <v>91</v>
      </c>
      <c r="P73" s="6" t="b">
        <v>1</v>
      </c>
      <c r="Q73" s="8" t="s">
        <v>246</v>
      </c>
    </row>
    <row r="74" spans="1:17" x14ac:dyDescent="0.25">
      <c r="A74" s="4" t="s">
        <v>1595</v>
      </c>
      <c r="B74" s="6" t="s">
        <v>507</v>
      </c>
      <c r="C74" s="6" t="s">
        <v>1394</v>
      </c>
      <c r="D74" s="6" t="s">
        <v>256</v>
      </c>
      <c r="E74" s="5">
        <v>44137</v>
      </c>
      <c r="F74" s="6">
        <v>20</v>
      </c>
      <c r="G74" s="6">
        <v>1</v>
      </c>
      <c r="H74" s="6">
        <v>25</v>
      </c>
      <c r="I74" s="6">
        <v>5</v>
      </c>
      <c r="J74" s="6" t="s">
        <v>1686</v>
      </c>
      <c r="K74" s="6" t="s">
        <v>210</v>
      </c>
      <c r="L74" s="6" t="s">
        <v>739</v>
      </c>
      <c r="M74" s="7" t="str">
        <f>HYPERLINK("http://ovidsp.ovid.com/ovidweb.cgi?T=JS&amp;NEWS=n&amp;CSC=Y&amp;PAGE=toc&amp;D=yrovft&amp;AN=00075200-000000000-00000","http://ovidsp.ovid.com/ovidweb.cgi?T=JS&amp;NEWS=n&amp;CSC=Y&amp;PAGE=toc&amp;D=yrovft&amp;AN=00075200-000000000-00000")</f>
        <v>http://ovidsp.ovid.com/ovidweb.cgi?T=JS&amp;NEWS=n&amp;CSC=Y&amp;PAGE=toc&amp;D=yrovft&amp;AN=00075200-000000000-00000</v>
      </c>
      <c r="N74" s="6" t="s">
        <v>1117</v>
      </c>
      <c r="O74" s="6" t="s">
        <v>105</v>
      </c>
      <c r="P74" s="6" t="b">
        <v>1</v>
      </c>
      <c r="Q74" s="8" t="s">
        <v>1720</v>
      </c>
    </row>
    <row r="75" spans="1:17" x14ac:dyDescent="0.25">
      <c r="A75" s="4" t="s">
        <v>506</v>
      </c>
      <c r="B75" s="6" t="s">
        <v>571</v>
      </c>
      <c r="C75" s="6" t="s">
        <v>1295</v>
      </c>
      <c r="D75" s="6" t="s">
        <v>256</v>
      </c>
      <c r="E75" s="5">
        <v>44137</v>
      </c>
      <c r="F75" s="6">
        <v>23</v>
      </c>
      <c r="G75" s="6">
        <v>1</v>
      </c>
      <c r="H75" s="6">
        <v>28</v>
      </c>
      <c r="I75" s="6">
        <v>5</v>
      </c>
      <c r="J75" s="6" t="s">
        <v>1686</v>
      </c>
      <c r="K75" s="6" t="s">
        <v>210</v>
      </c>
      <c r="L75" s="6" t="s">
        <v>739</v>
      </c>
      <c r="M75" s="7" t="str">
        <f>HYPERLINK("http://ovidsp.ovid.com/ovidweb.cgi?T=JS&amp;NEWS=n&amp;CSC=Y&amp;PAGE=toc&amp;D=yrovft&amp;AN=00020840-000000000-00000","http://ovidsp.ovid.com/ovidweb.cgi?T=JS&amp;NEWS=n&amp;CSC=Y&amp;PAGE=toc&amp;D=yrovft&amp;AN=00020840-000000000-00000")</f>
        <v>http://ovidsp.ovid.com/ovidweb.cgi?T=JS&amp;NEWS=n&amp;CSC=Y&amp;PAGE=toc&amp;D=yrovft&amp;AN=00020840-000000000-00000</v>
      </c>
      <c r="N75" s="6" t="s">
        <v>1117</v>
      </c>
      <c r="O75" s="6" t="s">
        <v>826</v>
      </c>
      <c r="P75" s="6" t="b">
        <v>1</v>
      </c>
      <c r="Q75" s="8" t="s">
        <v>1319</v>
      </c>
    </row>
    <row r="76" spans="1:17" x14ac:dyDescent="0.25">
      <c r="A76" s="4" t="s">
        <v>240</v>
      </c>
      <c r="B76" s="6" t="s">
        <v>356</v>
      </c>
      <c r="C76" s="6" t="s">
        <v>217</v>
      </c>
      <c r="D76" s="6" t="s">
        <v>256</v>
      </c>
      <c r="E76" s="5">
        <v>44137</v>
      </c>
      <c r="F76" s="6">
        <v>27</v>
      </c>
      <c r="G76" s="6">
        <v>1</v>
      </c>
      <c r="H76" s="6">
        <v>32</v>
      </c>
      <c r="I76" s="6">
        <v>5</v>
      </c>
      <c r="J76" s="6" t="s">
        <v>1686</v>
      </c>
      <c r="K76" s="6" t="s">
        <v>210</v>
      </c>
      <c r="L76" s="6" t="s">
        <v>739</v>
      </c>
      <c r="M76" s="7" t="str">
        <f>HYPERLINK("http://ovidsp.ovid.com/ovidweb.cgi?T=JS&amp;NEWS=n&amp;CSC=Y&amp;PAGE=toc&amp;D=yrovft&amp;AN=00008480-000000000-00000","http://ovidsp.ovid.com/ovidweb.cgi?T=JS&amp;NEWS=n&amp;CSC=Y&amp;PAGE=toc&amp;D=yrovft&amp;AN=00008480-000000000-00000")</f>
        <v>http://ovidsp.ovid.com/ovidweb.cgi?T=JS&amp;NEWS=n&amp;CSC=Y&amp;PAGE=toc&amp;D=yrovft&amp;AN=00008480-000000000-00000</v>
      </c>
      <c r="N76" s="6" t="s">
        <v>1117</v>
      </c>
      <c r="O76" s="6" t="s">
        <v>699</v>
      </c>
      <c r="P76" s="6" t="b">
        <v>1</v>
      </c>
      <c r="Q76" s="8" t="s">
        <v>1337</v>
      </c>
    </row>
    <row r="77" spans="1:17" x14ac:dyDescent="0.25">
      <c r="A77" s="4" t="s">
        <v>853</v>
      </c>
      <c r="B77" s="6" t="s">
        <v>1085</v>
      </c>
      <c r="C77" s="6" t="s">
        <v>482</v>
      </c>
      <c r="D77" s="6" t="s">
        <v>256</v>
      </c>
      <c r="E77" s="5">
        <v>44137</v>
      </c>
      <c r="F77" s="6">
        <v>28</v>
      </c>
      <c r="G77" s="6">
        <v>1</v>
      </c>
      <c r="H77" s="6">
        <v>33</v>
      </c>
      <c r="I77" s="6">
        <v>6</v>
      </c>
      <c r="J77" s="6" t="s">
        <v>565</v>
      </c>
      <c r="K77" s="6" t="s">
        <v>1349</v>
      </c>
      <c r="L77" s="6" t="s">
        <v>1046</v>
      </c>
      <c r="M77" s="7" t="str">
        <f>HYPERLINK("http://ovidsp.ovid.com/ovidweb.cgi?T=JS&amp;NEWS=n&amp;CSC=Y&amp;PAGE=toc&amp;D=yrovft&amp;AN=00001504-000000000-00000","http://ovidsp.ovid.com/ovidweb.cgi?T=JS&amp;NEWS=n&amp;CSC=Y&amp;PAGE=toc&amp;D=yrovft&amp;AN=00001504-000000000-00000")</f>
        <v>http://ovidsp.ovid.com/ovidweb.cgi?T=JS&amp;NEWS=n&amp;CSC=Y&amp;PAGE=toc&amp;D=yrovft&amp;AN=00001504-000000000-00000</v>
      </c>
      <c r="N77" s="6" t="s">
        <v>1117</v>
      </c>
      <c r="O77" s="6" t="s">
        <v>1579</v>
      </c>
      <c r="P77" s="6" t="b">
        <v>1</v>
      </c>
      <c r="Q77" s="8" t="s">
        <v>212</v>
      </c>
    </row>
    <row r="78" spans="1:17" x14ac:dyDescent="0.25">
      <c r="A78" s="4" t="s">
        <v>449</v>
      </c>
      <c r="B78" s="6" t="s">
        <v>1378</v>
      </c>
      <c r="C78" s="6" t="s">
        <v>597</v>
      </c>
      <c r="D78" s="6" t="s">
        <v>256</v>
      </c>
      <c r="E78" s="5">
        <v>44137</v>
      </c>
      <c r="F78" s="6">
        <v>21</v>
      </c>
      <c r="G78" s="6">
        <v>1</v>
      </c>
      <c r="H78" s="6">
        <v>26</v>
      </c>
      <c r="I78" s="6">
        <v>6</v>
      </c>
      <c r="J78" s="6" t="s">
        <v>565</v>
      </c>
      <c r="K78" s="6" t="s">
        <v>1349</v>
      </c>
      <c r="L78" s="6" t="s">
        <v>1046</v>
      </c>
      <c r="M78" s="7" t="str">
        <f>HYPERLINK("http://ovidsp.ovid.com/ovidweb.cgi?T=JS&amp;NEWS=n&amp;CSC=Y&amp;PAGE=toc&amp;D=yrovft&amp;AN=00063198-000000000-00000","http://ovidsp.ovid.com/ovidweb.cgi?T=JS&amp;NEWS=n&amp;CSC=Y&amp;PAGE=toc&amp;D=yrovft&amp;AN=00063198-000000000-00000")</f>
        <v>http://ovidsp.ovid.com/ovidweb.cgi?T=JS&amp;NEWS=n&amp;CSC=Y&amp;PAGE=toc&amp;D=yrovft&amp;AN=00063198-000000000-00000</v>
      </c>
      <c r="N78" s="6" t="s">
        <v>1117</v>
      </c>
      <c r="O78" s="6" t="s">
        <v>1639</v>
      </c>
      <c r="P78" s="6" t="b">
        <v>1</v>
      </c>
      <c r="Q78" s="8" t="s">
        <v>1215</v>
      </c>
    </row>
    <row r="79" spans="1:17" x14ac:dyDescent="0.25">
      <c r="A79" s="4" t="s">
        <v>151</v>
      </c>
      <c r="B79" s="6" t="s">
        <v>1725</v>
      </c>
      <c r="C79" s="6" t="s">
        <v>401</v>
      </c>
      <c r="D79" s="6" t="s">
        <v>256</v>
      </c>
      <c r="E79" s="5">
        <v>44137</v>
      </c>
      <c r="F79" s="6">
        <v>27</v>
      </c>
      <c r="G79" s="6">
        <v>1</v>
      </c>
      <c r="H79" s="6">
        <v>32</v>
      </c>
      <c r="I79" s="6">
        <v>6</v>
      </c>
      <c r="J79" s="6" t="s">
        <v>565</v>
      </c>
      <c r="K79" s="6" t="s">
        <v>1349</v>
      </c>
      <c r="L79" s="6" t="s">
        <v>1046</v>
      </c>
      <c r="M79" s="7" t="str">
        <f>HYPERLINK("http://ovidsp.ovid.com/ovidweb.cgi?T=JS&amp;NEWS=n&amp;CSC=Y&amp;PAGE=toc&amp;D=yrovft&amp;AN=00002281-000000000-00000","http://ovidsp.ovid.com/ovidweb.cgi?T=JS&amp;NEWS=n&amp;CSC=Y&amp;PAGE=toc&amp;D=yrovft&amp;AN=00002281-000000000-00000")</f>
        <v>http://ovidsp.ovid.com/ovidweb.cgi?T=JS&amp;NEWS=n&amp;CSC=Y&amp;PAGE=toc&amp;D=yrovft&amp;AN=00002281-000000000-00000</v>
      </c>
      <c r="N79" s="6" t="s">
        <v>1117</v>
      </c>
      <c r="O79" s="6" t="s">
        <v>1758</v>
      </c>
      <c r="P79" s="6" t="b">
        <v>0</v>
      </c>
      <c r="Q79" s="8" t="s">
        <v>1117</v>
      </c>
    </row>
    <row r="80" spans="1:17" x14ac:dyDescent="0.25">
      <c r="A80" s="4" t="s">
        <v>363</v>
      </c>
      <c r="B80" s="6" t="s">
        <v>1268</v>
      </c>
      <c r="C80" s="6" t="s">
        <v>314</v>
      </c>
      <c r="D80" s="6" t="s">
        <v>256</v>
      </c>
      <c r="E80" s="5">
        <v>44137</v>
      </c>
      <c r="F80" s="6">
        <v>9</v>
      </c>
      <c r="G80" s="6">
        <v>1</v>
      </c>
      <c r="H80" s="6">
        <v>14</v>
      </c>
      <c r="I80" s="6">
        <v>3</v>
      </c>
      <c r="J80" s="6" t="s">
        <v>1231</v>
      </c>
      <c r="K80" s="6" t="s">
        <v>365</v>
      </c>
      <c r="L80" s="6" t="s">
        <v>553</v>
      </c>
      <c r="M80" s="7" t="str">
        <f>HYPERLINK("http://ovidsp.ovid.com/ovidweb.cgi?T=JS&amp;NEWS=n&amp;CSC=Y&amp;PAGE=toc&amp;D=yrovft&amp;AN=01263393-000000000-00000","http://ovidsp.ovid.com/ovidweb.cgi?T=JS&amp;NEWS=n&amp;CSC=Y&amp;PAGE=toc&amp;D=yrovft&amp;AN=01263393-000000000-00000")</f>
        <v>http://ovidsp.ovid.com/ovidweb.cgi?T=JS&amp;NEWS=n&amp;CSC=Y&amp;PAGE=toc&amp;D=yrovft&amp;AN=01263393-000000000-00000</v>
      </c>
      <c r="N80" s="6" t="s">
        <v>1117</v>
      </c>
      <c r="O80" s="6" t="s">
        <v>1004</v>
      </c>
      <c r="P80" s="6" t="b">
        <v>1</v>
      </c>
      <c r="Q80" s="8" t="s">
        <v>1080</v>
      </c>
    </row>
    <row r="81" spans="1:17" x14ac:dyDescent="0.25">
      <c r="A81" s="4" t="s">
        <v>1658</v>
      </c>
      <c r="B81" s="6" t="s">
        <v>1439</v>
      </c>
      <c r="C81" s="6" t="s">
        <v>1448</v>
      </c>
      <c r="D81" s="6" t="s">
        <v>256</v>
      </c>
      <c r="E81" s="5">
        <v>44137</v>
      </c>
      <c r="F81" s="6">
        <v>25</v>
      </c>
      <c r="G81" s="6">
        <v>1</v>
      </c>
      <c r="H81" s="6">
        <v>30</v>
      </c>
      <c r="I81" s="6">
        <v>6</v>
      </c>
      <c r="J81" s="6" t="s">
        <v>565</v>
      </c>
      <c r="K81" s="6" t="s">
        <v>1349</v>
      </c>
      <c r="L81" s="6" t="s">
        <v>1046</v>
      </c>
      <c r="M81" s="7" t="str">
        <f>HYPERLINK("http://ovidsp.ovid.com/ovidweb.cgi?T=JS&amp;NEWS=n&amp;CSC=Y&amp;PAGE=toc&amp;D=yrovft&amp;AN=00042307-000000000-00000","http://ovidsp.ovid.com/ovidweb.cgi?T=JS&amp;NEWS=n&amp;CSC=Y&amp;PAGE=toc&amp;D=yrovft&amp;AN=00042307-000000000-00000")</f>
        <v>http://ovidsp.ovid.com/ovidweb.cgi?T=JS&amp;NEWS=n&amp;CSC=Y&amp;PAGE=toc&amp;D=yrovft&amp;AN=00042307-000000000-00000</v>
      </c>
      <c r="N81" s="6" t="s">
        <v>1117</v>
      </c>
      <c r="O81" s="6" t="s">
        <v>874</v>
      </c>
      <c r="P81" s="6" t="b">
        <v>0</v>
      </c>
      <c r="Q81" s="8" t="s">
        <v>1117</v>
      </c>
    </row>
    <row r="82" spans="1:17" x14ac:dyDescent="0.25">
      <c r="A82" s="4" t="s">
        <v>661</v>
      </c>
      <c r="B82" s="6" t="s">
        <v>1735</v>
      </c>
      <c r="C82" s="6" t="s">
        <v>1752</v>
      </c>
      <c r="D82" s="6" t="s">
        <v>256</v>
      </c>
      <c r="E82" s="5">
        <v>44137</v>
      </c>
      <c r="F82" s="6">
        <v>26</v>
      </c>
      <c r="G82" s="6">
        <v>1</v>
      </c>
      <c r="H82" s="6">
        <v>31</v>
      </c>
      <c r="I82" s="6">
        <v>5</v>
      </c>
      <c r="J82" s="6" t="s">
        <v>1616</v>
      </c>
      <c r="K82" s="6" t="s">
        <v>1528</v>
      </c>
      <c r="L82" s="6" t="s">
        <v>452</v>
      </c>
      <c r="M82" s="7" t="str">
        <f>HYPERLINK("http://ovidsp.ovid.com/ovidweb.cgi?T=JS&amp;NEWS=n&amp;CSC=Y&amp;PAGE=toc&amp;D=yrovft&amp;AN=01337441-000000000-00000","http://ovidsp.ovid.com/ovidweb.cgi?T=JS&amp;NEWS=n&amp;CSC=Y&amp;PAGE=toc&amp;D=yrovft&amp;AN=01337441-000000000-00000")</f>
        <v>http://ovidsp.ovid.com/ovidweb.cgi?T=JS&amp;NEWS=n&amp;CSC=Y&amp;PAGE=toc&amp;D=yrovft&amp;AN=01337441-000000000-00000</v>
      </c>
      <c r="N82" s="6" t="s">
        <v>1117</v>
      </c>
      <c r="O82" s="6" t="s">
        <v>1656</v>
      </c>
      <c r="P82" s="6" t="b">
        <v>0</v>
      </c>
      <c r="Q82" s="8" t="s">
        <v>1117</v>
      </c>
    </row>
    <row r="83" spans="1:17" x14ac:dyDescent="0.25">
      <c r="A83" s="4" t="s">
        <v>1493</v>
      </c>
      <c r="B83" s="6" t="s">
        <v>1564</v>
      </c>
      <c r="C83" s="6" t="s">
        <v>1266</v>
      </c>
      <c r="D83" s="6" t="s">
        <v>1704</v>
      </c>
      <c r="E83" s="5">
        <v>44137</v>
      </c>
      <c r="F83" s="6">
        <v>41</v>
      </c>
      <c r="G83" s="6">
        <v>0</v>
      </c>
      <c r="H83" s="6">
        <v>46</v>
      </c>
      <c r="I83" s="6">
        <v>0</v>
      </c>
      <c r="J83" s="6" t="s">
        <v>1189</v>
      </c>
      <c r="K83" s="6" t="s">
        <v>1349</v>
      </c>
      <c r="L83" s="6" t="s">
        <v>739</v>
      </c>
      <c r="M83" s="7" t="str">
        <f>HYPERLINK("http://ovidsp.ovid.com/ovidweb.cgi?T=JS&amp;NEWS=n&amp;CSC=Y&amp;PAGE=toc&amp;D=yrovft&amp;AN=00042728-000000000-00000","http://ovidsp.ovid.com/ovidweb.cgi?T=JS&amp;NEWS=n&amp;CSC=Y&amp;PAGE=toc&amp;D=yrovft&amp;AN=00042728-000000000-00000")</f>
        <v>http://ovidsp.ovid.com/ovidweb.cgi?T=JS&amp;NEWS=n&amp;CSC=Y&amp;PAGE=toc&amp;D=yrovft&amp;AN=00042728-000000000-00000</v>
      </c>
      <c r="N83" s="6" t="s">
        <v>1117</v>
      </c>
      <c r="O83" s="6" t="s">
        <v>1174</v>
      </c>
      <c r="P83" s="6" t="b">
        <v>0</v>
      </c>
      <c r="Q83" s="8" t="s">
        <v>1117</v>
      </c>
    </row>
    <row r="84" spans="1:17" x14ac:dyDescent="0.25">
      <c r="A84" s="4" t="s">
        <v>746</v>
      </c>
      <c r="B84" s="6" t="s">
        <v>473</v>
      </c>
      <c r="C84" s="6" t="s">
        <v>26</v>
      </c>
      <c r="D84" s="6" t="s">
        <v>256</v>
      </c>
      <c r="E84" s="5">
        <v>44137</v>
      </c>
      <c r="F84" s="6">
        <v>34</v>
      </c>
      <c r="G84" s="6">
        <v>1</v>
      </c>
      <c r="H84" s="6">
        <v>39</v>
      </c>
      <c r="I84" s="6">
        <v>6</v>
      </c>
      <c r="J84" s="6" t="s">
        <v>1635</v>
      </c>
      <c r="K84" s="6" t="s">
        <v>1528</v>
      </c>
      <c r="L84" s="6" t="s">
        <v>270</v>
      </c>
      <c r="M84" s="7" t="str">
        <f>HYPERLINK("http://ovidsp.ovid.com/ovidweb.cgi?T=JS&amp;NEWS=n&amp;CSC=Y&amp;PAGE=toc&amp;D=yrovft&amp;AN=00003465-000000000-00000","http://ovidsp.ovid.com/ovidweb.cgi?T=JS&amp;NEWS=n&amp;CSC=Y&amp;PAGE=toc&amp;D=yrovft&amp;AN=00003465-000000000-00000")</f>
        <v>http://ovidsp.ovid.com/ovidweb.cgi?T=JS&amp;NEWS=n&amp;CSC=Y&amp;PAGE=toc&amp;D=yrovft&amp;AN=00003465-000000000-00000</v>
      </c>
      <c r="N84" s="6" t="s">
        <v>1117</v>
      </c>
      <c r="O84" s="6" t="s">
        <v>1457</v>
      </c>
      <c r="P84" s="6" t="b">
        <v>0</v>
      </c>
      <c r="Q84" s="8" t="s">
        <v>1117</v>
      </c>
    </row>
    <row r="85" spans="1:17" x14ac:dyDescent="0.25">
      <c r="A85" s="4" t="s">
        <v>323</v>
      </c>
      <c r="B85" s="6" t="s">
        <v>909</v>
      </c>
      <c r="C85" s="6" t="s">
        <v>446</v>
      </c>
      <c r="D85" s="6" t="s">
        <v>256</v>
      </c>
      <c r="E85" s="5">
        <v>44137</v>
      </c>
      <c r="F85" s="6">
        <v>58</v>
      </c>
      <c r="G85" s="6">
        <v>1</v>
      </c>
      <c r="H85" s="6">
        <v>63</v>
      </c>
      <c r="I85" s="6">
        <v>11</v>
      </c>
      <c r="J85" s="6" t="s">
        <v>565</v>
      </c>
      <c r="K85" s="6" t="s">
        <v>1349</v>
      </c>
      <c r="L85" s="6" t="s">
        <v>1046</v>
      </c>
      <c r="M85" s="7" t="str">
        <f>HYPERLINK("http://ovidsp.ovid.com/ovidweb.cgi?T=JS&amp;NEWS=n&amp;CSC=Y&amp;PAGE=toc&amp;D=yrovft&amp;AN=00003453-000000000-00000","http://ovidsp.ovid.com/ovidweb.cgi?T=JS&amp;NEWS=n&amp;CSC=Y&amp;PAGE=toc&amp;D=yrovft&amp;AN=00003453-000000000-00000")</f>
        <v>http://ovidsp.ovid.com/ovidweb.cgi?T=JS&amp;NEWS=n&amp;CSC=Y&amp;PAGE=toc&amp;D=yrovft&amp;AN=00003453-000000000-00000</v>
      </c>
      <c r="N85" s="6" t="s">
        <v>1117</v>
      </c>
      <c r="O85" s="6" t="s">
        <v>595</v>
      </c>
      <c r="P85" s="6" t="b">
        <v>1</v>
      </c>
      <c r="Q85" s="8" t="s">
        <v>391</v>
      </c>
    </row>
    <row r="86" spans="1:17" x14ac:dyDescent="0.25">
      <c r="A86" s="4" t="s">
        <v>1620</v>
      </c>
      <c r="B86" s="6" t="s">
        <v>472</v>
      </c>
      <c r="C86" s="6" t="s">
        <v>41</v>
      </c>
      <c r="D86" s="6" t="s">
        <v>256</v>
      </c>
      <c r="E86" s="5">
        <v>44137</v>
      </c>
      <c r="F86" s="6">
        <v>36</v>
      </c>
      <c r="G86" s="6">
        <v>1</v>
      </c>
      <c r="H86" s="6">
        <v>41</v>
      </c>
      <c r="I86" s="6">
        <v>5</v>
      </c>
      <c r="J86" s="6" t="s">
        <v>1535</v>
      </c>
      <c r="K86" s="6" t="s">
        <v>1349</v>
      </c>
      <c r="L86" s="6" t="s">
        <v>452</v>
      </c>
      <c r="M86" s="7" t="str">
        <f>HYPERLINK("http://ovidsp.ovid.com/ovidweb.cgi?T=JS&amp;NEWS=n&amp;CSC=Y&amp;PAGE=toc&amp;D=yrovft&amp;AN=00003446-000000000-00000","http://ovidsp.ovid.com/ovidweb.cgi?T=JS&amp;NEWS=n&amp;CSC=Y&amp;PAGE=toc&amp;D=yrovft&amp;AN=00003446-000000000-00000")</f>
        <v>http://ovidsp.ovid.com/ovidweb.cgi?T=JS&amp;NEWS=n&amp;CSC=Y&amp;PAGE=toc&amp;D=yrovft&amp;AN=00003446-000000000-00000</v>
      </c>
      <c r="N86" s="6" t="s">
        <v>1117</v>
      </c>
      <c r="O86" s="6" t="s">
        <v>1405</v>
      </c>
      <c r="P86" s="6" t="b">
        <v>1</v>
      </c>
      <c r="Q86" s="8" t="s">
        <v>626</v>
      </c>
    </row>
    <row r="87" spans="1:17" x14ac:dyDescent="0.25">
      <c r="A87" s="4" t="s">
        <v>44</v>
      </c>
      <c r="B87" s="6" t="s">
        <v>925</v>
      </c>
      <c r="C87" s="6" t="s">
        <v>100</v>
      </c>
      <c r="D87" s="6" t="s">
        <v>256</v>
      </c>
      <c r="E87" s="5">
        <v>44137</v>
      </c>
      <c r="F87" s="6">
        <v>37</v>
      </c>
      <c r="G87" s="6">
        <v>1</v>
      </c>
      <c r="H87" s="6">
        <v>42</v>
      </c>
      <c r="I87" s="6" t="s">
        <v>637</v>
      </c>
      <c r="J87" s="6" t="s">
        <v>1751</v>
      </c>
      <c r="K87" s="6" t="s">
        <v>1349</v>
      </c>
      <c r="L87" s="6" t="s">
        <v>831</v>
      </c>
      <c r="M87" s="7" t="str">
        <f>HYPERLINK("http://ovidsp.ovid.com/ovidweb.cgi?T=JS&amp;NEWS=n&amp;CSC=Y&amp;PAGE=toc&amp;D=yrovft&amp;AN=00132981-000000000-00000","http://ovidsp.ovid.com/ovidweb.cgi?T=JS&amp;NEWS=n&amp;CSC=Y&amp;PAGE=toc&amp;D=yrovft&amp;AN=00132981-000000000-00000")</f>
        <v>http://ovidsp.ovid.com/ovidweb.cgi?T=JS&amp;NEWS=n&amp;CSC=Y&amp;PAGE=toc&amp;D=yrovft&amp;AN=00132981-000000000-00000</v>
      </c>
      <c r="N87" s="6" t="s">
        <v>1117</v>
      </c>
      <c r="O87" s="6" t="s">
        <v>1149</v>
      </c>
      <c r="P87" s="6" t="b">
        <v>0</v>
      </c>
      <c r="Q87" s="8" t="s">
        <v>1117</v>
      </c>
    </row>
    <row r="88" spans="1:17" x14ac:dyDescent="0.25">
      <c r="A88" s="4" t="s">
        <v>1145</v>
      </c>
      <c r="B88" s="6" t="s">
        <v>1265</v>
      </c>
      <c r="C88" s="6" t="s">
        <v>910</v>
      </c>
      <c r="D88" s="6" t="s">
        <v>256</v>
      </c>
      <c r="E88" s="5">
        <v>44137</v>
      </c>
      <c r="F88" s="6">
        <v>26</v>
      </c>
      <c r="G88" s="6">
        <v>1</v>
      </c>
      <c r="H88" s="6">
        <v>31</v>
      </c>
      <c r="I88" s="6">
        <v>6</v>
      </c>
      <c r="J88" s="6" t="s">
        <v>565</v>
      </c>
      <c r="K88" s="6" t="s">
        <v>1349</v>
      </c>
      <c r="L88" s="6" t="s">
        <v>1046</v>
      </c>
      <c r="M88" s="7" t="str">
        <f>HYPERLINK("http://ovidsp.ovid.com/ovidweb.cgi?T=JS&amp;NEWS=n&amp;CSC=Y&amp;PAGE=toc&amp;D=yrovft&amp;AN=00001648-000000000-00000","http://ovidsp.ovid.com/ovidweb.cgi?T=JS&amp;NEWS=n&amp;CSC=Y&amp;PAGE=toc&amp;D=yrovft&amp;AN=00001648-000000000-00000")</f>
        <v>http://ovidsp.ovid.com/ovidweb.cgi?T=JS&amp;NEWS=n&amp;CSC=Y&amp;PAGE=toc&amp;D=yrovft&amp;AN=00001648-000000000-00000</v>
      </c>
      <c r="N88" s="6" t="s">
        <v>1117</v>
      </c>
      <c r="O88" s="6" t="s">
        <v>1386</v>
      </c>
      <c r="P88" s="6" t="b">
        <v>1</v>
      </c>
      <c r="Q88" s="8" t="s">
        <v>1687</v>
      </c>
    </row>
    <row r="89" spans="1:17" x14ac:dyDescent="0.25">
      <c r="A89" s="4" t="s">
        <v>1374</v>
      </c>
      <c r="B89" s="6" t="s">
        <v>694</v>
      </c>
      <c r="C89" s="6" t="s">
        <v>1263</v>
      </c>
      <c r="D89" s="6" t="s">
        <v>1525</v>
      </c>
      <c r="E89" s="5">
        <v>44137</v>
      </c>
      <c r="F89" s="6">
        <v>32</v>
      </c>
      <c r="G89" s="6">
        <v>1</v>
      </c>
      <c r="H89" s="6">
        <v>37</v>
      </c>
      <c r="I89" s="6">
        <v>11</v>
      </c>
      <c r="J89" s="6" t="s">
        <v>565</v>
      </c>
      <c r="K89" s="6" t="s">
        <v>1349</v>
      </c>
      <c r="L89" s="6" t="s">
        <v>1046</v>
      </c>
      <c r="M89" s="7" t="str">
        <f>HYPERLINK("http://ovidsp.ovid.com/ovidweb.cgi?T=JS&amp;NEWS=n&amp;CSC=Y&amp;PAGE=toc&amp;D=yrovft&amp;AN=00003643-000000000-00000","http://ovidsp.ovid.com/ovidweb.cgi?T=JS&amp;NEWS=n&amp;CSC=Y&amp;PAGE=toc&amp;D=yrovft&amp;AN=00003643-000000000-00000")</f>
        <v>http://ovidsp.ovid.com/ovidweb.cgi?T=JS&amp;NEWS=n&amp;CSC=Y&amp;PAGE=toc&amp;D=yrovft&amp;AN=00003643-000000000-00000</v>
      </c>
      <c r="N89" s="6" t="s">
        <v>1117</v>
      </c>
      <c r="O89" s="6" t="s">
        <v>1212</v>
      </c>
      <c r="P89" s="6" t="b">
        <v>1</v>
      </c>
      <c r="Q89" s="8" t="s">
        <v>520</v>
      </c>
    </row>
    <row r="90" spans="1:17" x14ac:dyDescent="0.25">
      <c r="A90" s="4" t="s">
        <v>1143</v>
      </c>
      <c r="B90" s="6" t="s">
        <v>1031</v>
      </c>
      <c r="C90" s="6" t="s">
        <v>768</v>
      </c>
      <c r="D90" s="6" t="s">
        <v>256</v>
      </c>
      <c r="E90" s="5">
        <v>44137</v>
      </c>
      <c r="F90" s="6">
        <v>24</v>
      </c>
      <c r="G90" s="6">
        <v>1</v>
      </c>
      <c r="H90" s="6">
        <v>29</v>
      </c>
      <c r="I90" s="6">
        <v>6</v>
      </c>
      <c r="J90" s="6" t="s">
        <v>565</v>
      </c>
      <c r="K90" s="6" t="s">
        <v>1349</v>
      </c>
      <c r="L90" s="6" t="s">
        <v>1046</v>
      </c>
      <c r="M90" s="7" t="str">
        <f>HYPERLINK("http://ovidsp.ovid.com/ovidweb.cgi?T=JS&amp;NEWS=n&amp;CSC=Y&amp;PAGE=toc&amp;D=yrovft&amp;AN=00008469-000000000-00000","http://ovidsp.ovid.com/ovidweb.cgi?T=JS&amp;NEWS=n&amp;CSC=Y&amp;PAGE=toc&amp;D=yrovft&amp;AN=00008469-000000000-00000")</f>
        <v>http://ovidsp.ovid.com/ovidweb.cgi?T=JS&amp;NEWS=n&amp;CSC=Y&amp;PAGE=toc&amp;D=yrovft&amp;AN=00008469-000000000-00000</v>
      </c>
      <c r="N90" s="6" t="s">
        <v>1117</v>
      </c>
      <c r="O90" s="6" t="s">
        <v>312</v>
      </c>
      <c r="P90" s="6" t="b">
        <v>0</v>
      </c>
      <c r="Q90" s="8" t="s">
        <v>1117</v>
      </c>
    </row>
    <row r="91" spans="1:17" x14ac:dyDescent="0.25">
      <c r="A91" s="4" t="s">
        <v>191</v>
      </c>
      <c r="B91" s="6" t="s">
        <v>1060</v>
      </c>
      <c r="C91" s="6" t="s">
        <v>1652</v>
      </c>
      <c r="D91" s="6" t="s">
        <v>256</v>
      </c>
      <c r="E91" s="5">
        <v>44137</v>
      </c>
      <c r="F91" s="6">
        <v>22</v>
      </c>
      <c r="G91" s="6">
        <v>2</v>
      </c>
      <c r="H91" s="6">
        <v>27</v>
      </c>
      <c r="I91" s="6">
        <v>5</v>
      </c>
      <c r="J91" s="6" t="s">
        <v>1629</v>
      </c>
      <c r="K91" s="6" t="s">
        <v>430</v>
      </c>
      <c r="L91" s="6" t="s">
        <v>739</v>
      </c>
      <c r="M91" s="7" t="str">
        <f>HYPERLINK("http://ovidsp.ovid.com/ovidweb.cgi?T=JS&amp;NEWS=n&amp;CSC=Y&amp;PAGE=toc&amp;D=yrovft&amp;AN=00063110-000000000-00000","http://ovidsp.ovid.com/ovidweb.cgi?T=JS&amp;NEWS=n&amp;CSC=Y&amp;PAGE=toc&amp;D=yrovft&amp;AN=00063110-000000000-00000")</f>
        <v>http://ovidsp.ovid.com/ovidweb.cgi?T=JS&amp;NEWS=n&amp;CSC=Y&amp;PAGE=toc&amp;D=yrovft&amp;AN=00063110-000000000-00000</v>
      </c>
      <c r="N91" s="6" t="s">
        <v>1117</v>
      </c>
      <c r="O91" s="6" t="s">
        <v>111</v>
      </c>
      <c r="P91" s="6" t="b">
        <v>1</v>
      </c>
      <c r="Q91" s="8" t="s">
        <v>1289</v>
      </c>
    </row>
    <row r="92" spans="1:17" x14ac:dyDescent="0.25">
      <c r="A92" s="4" t="s">
        <v>906</v>
      </c>
      <c r="B92" s="6" t="s">
        <v>1305</v>
      </c>
      <c r="C92" s="6" t="s">
        <v>1465</v>
      </c>
      <c r="D92" s="6" t="s">
        <v>256</v>
      </c>
      <c r="E92" s="5">
        <v>44137</v>
      </c>
      <c r="F92" s="6">
        <v>27</v>
      </c>
      <c r="G92" s="6">
        <v>1</v>
      </c>
      <c r="H92" s="6">
        <v>32</v>
      </c>
      <c r="I92" s="6">
        <v>11</v>
      </c>
      <c r="J92" s="6" t="s">
        <v>565</v>
      </c>
      <c r="K92" s="6" t="s">
        <v>1349</v>
      </c>
      <c r="L92" s="6" t="s">
        <v>1046</v>
      </c>
      <c r="M92" s="7" t="str">
        <f>HYPERLINK("http://ovidsp.ovid.com/ovidweb.cgi?T=JS&amp;NEWS=n&amp;CSC=Y&amp;PAGE=toc&amp;D=yrovft&amp;AN=00042737-000000000-00000","http://ovidsp.ovid.com/ovidweb.cgi?T=JS&amp;NEWS=n&amp;CSC=Y&amp;PAGE=toc&amp;D=yrovft&amp;AN=00042737-000000000-00000")</f>
        <v>http://ovidsp.ovid.com/ovidweb.cgi?T=JS&amp;NEWS=n&amp;CSC=Y&amp;PAGE=toc&amp;D=yrovft&amp;AN=00042737-000000000-00000</v>
      </c>
      <c r="N92" s="6" t="s">
        <v>1117</v>
      </c>
      <c r="O92" s="6" t="s">
        <v>264</v>
      </c>
      <c r="P92" s="6" t="b">
        <v>0</v>
      </c>
      <c r="Q92" s="8" t="s">
        <v>1117</v>
      </c>
    </row>
    <row r="93" spans="1:17" x14ac:dyDescent="0.25">
      <c r="A93" s="4" t="s">
        <v>1505</v>
      </c>
      <c r="B93" s="6" t="s">
        <v>1351</v>
      </c>
      <c r="C93" s="6" t="s">
        <v>1611</v>
      </c>
      <c r="D93" s="6" t="s">
        <v>256</v>
      </c>
      <c r="E93" s="5">
        <v>44137</v>
      </c>
      <c r="F93" s="6">
        <v>1</v>
      </c>
      <c r="G93" s="6">
        <v>2</v>
      </c>
      <c r="H93" s="6">
        <v>5</v>
      </c>
      <c r="I93" s="6">
        <v>4</v>
      </c>
      <c r="J93" s="6" t="s">
        <v>1587</v>
      </c>
      <c r="K93" s="6" t="s">
        <v>758</v>
      </c>
      <c r="L93" s="6" t="s">
        <v>304</v>
      </c>
      <c r="M93" s="7" t="str">
        <f>HYPERLINK("http://ovidsp.ovid.com/ovidweb.cgi?T=JS&amp;NEWS=n&amp;CSC=Y&amp;PAGE=toc&amp;D=yrovft&amp;AN=00132578-000000000-00000","http://ovidsp.ovid.com/ovidweb.cgi?T=JS&amp;NEWS=n&amp;CSC=Y&amp;PAGE=toc&amp;D=yrovft&amp;AN=00132578-000000000-00000")</f>
        <v>http://ovidsp.ovid.com/ovidweb.cgi?T=JS&amp;NEWS=n&amp;CSC=Y&amp;PAGE=toc&amp;D=yrovft&amp;AN=00132578-000000000-00000</v>
      </c>
      <c r="N93" s="6" t="s">
        <v>1117</v>
      </c>
      <c r="O93" s="6" t="s">
        <v>1695</v>
      </c>
      <c r="P93" s="6" t="b">
        <v>0</v>
      </c>
      <c r="Q93" s="8" t="s">
        <v>1117</v>
      </c>
    </row>
    <row r="94" spans="1:17" x14ac:dyDescent="0.25">
      <c r="A94" s="4" t="s">
        <v>59</v>
      </c>
      <c r="B94" s="6" t="s">
        <v>688</v>
      </c>
      <c r="C94" s="6" t="s">
        <v>1611</v>
      </c>
      <c r="D94" s="6" t="s">
        <v>256</v>
      </c>
      <c r="E94" s="5">
        <v>44137</v>
      </c>
      <c r="F94" s="6">
        <v>6</v>
      </c>
      <c r="G94" s="6">
        <v>1</v>
      </c>
      <c r="H94" s="6">
        <v>12</v>
      </c>
      <c r="I94" s="6">
        <v>4</v>
      </c>
      <c r="J94" s="6" t="s">
        <v>987</v>
      </c>
      <c r="K94" s="6" t="s">
        <v>1052</v>
      </c>
      <c r="L94" s="6" t="s">
        <v>572</v>
      </c>
      <c r="M94" s="7" t="str">
        <f>HYPERLINK("http://ovidsp.ovid.com/ovidweb.cgi?T=JS&amp;NEWS=n&amp;CSC=Y&amp;PAGE=toc&amp;D=yrovft&amp;AN=01241330-000000000-00000","http://ovidsp.ovid.com/ovidweb.cgi?T=JS&amp;NEWS=n&amp;CSC=Y&amp;PAGE=toc&amp;D=yrovft&amp;AN=01241330-000000000-00000")</f>
        <v>http://ovidsp.ovid.com/ovidweb.cgi?T=JS&amp;NEWS=n&amp;CSC=Y&amp;PAGE=toc&amp;D=yrovft&amp;AN=01241330-000000000-00000</v>
      </c>
      <c r="N94" s="6" t="s">
        <v>1117</v>
      </c>
      <c r="O94" s="6" t="s">
        <v>1199</v>
      </c>
      <c r="P94" s="6" t="b">
        <v>0</v>
      </c>
      <c r="Q94" s="8" t="s">
        <v>1117</v>
      </c>
    </row>
    <row r="95" spans="1:17" x14ac:dyDescent="0.25">
      <c r="A95" s="4" t="s">
        <v>584</v>
      </c>
      <c r="B95" s="6" t="s">
        <v>98</v>
      </c>
      <c r="C95" s="6" t="s">
        <v>204</v>
      </c>
      <c r="D95" s="6" t="s">
        <v>256</v>
      </c>
      <c r="E95" s="5">
        <v>44137</v>
      </c>
      <c r="F95" s="6">
        <v>43</v>
      </c>
      <c r="G95" s="6">
        <v>1</v>
      </c>
      <c r="H95" s="6">
        <v>48</v>
      </c>
      <c r="I95" s="6">
        <v>4</v>
      </c>
      <c r="J95" s="6" t="s">
        <v>1189</v>
      </c>
      <c r="K95" s="6" t="s">
        <v>1349</v>
      </c>
      <c r="L95" s="6" t="s">
        <v>739</v>
      </c>
      <c r="M95" s="7" t="str">
        <f>HYPERLINK("http://ovidsp.ovid.com/ovidweb.cgi?T=JS&amp;NEWS=n&amp;CSC=Y&amp;PAGE=toc&amp;D=yrovft&amp;AN=00003677-000000000-00000","http://ovidsp.ovid.com/ovidweb.cgi?T=JS&amp;NEWS=n&amp;CSC=Y&amp;PAGE=toc&amp;D=yrovft&amp;AN=00003677-000000000-00000")</f>
        <v>http://ovidsp.ovid.com/ovidweb.cgi?T=JS&amp;NEWS=n&amp;CSC=Y&amp;PAGE=toc&amp;D=yrovft&amp;AN=00003677-000000000-00000</v>
      </c>
      <c r="N95" s="6" t="s">
        <v>1117</v>
      </c>
      <c r="O95" s="6" t="s">
        <v>742</v>
      </c>
      <c r="P95" s="6" t="b">
        <v>1</v>
      </c>
      <c r="Q95" s="8" t="s">
        <v>142</v>
      </c>
    </row>
    <row r="96" spans="1:17" x14ac:dyDescent="0.25">
      <c r="A96" s="4" t="s">
        <v>1396</v>
      </c>
      <c r="B96" s="6" t="s">
        <v>35</v>
      </c>
      <c r="C96" s="6" t="s">
        <v>241</v>
      </c>
      <c r="D96" s="6" t="s">
        <v>256</v>
      </c>
      <c r="E96" s="5">
        <v>44137</v>
      </c>
      <c r="F96" s="6">
        <v>38</v>
      </c>
      <c r="G96" s="6">
        <v>1</v>
      </c>
      <c r="H96" s="6">
        <v>43</v>
      </c>
      <c r="I96" s="6">
        <v>4</v>
      </c>
      <c r="J96" s="6" t="s">
        <v>486</v>
      </c>
      <c r="K96" s="6" t="s">
        <v>1671</v>
      </c>
      <c r="L96" s="6" t="s">
        <v>206</v>
      </c>
      <c r="M96" s="7" t="str">
        <f>HYPERLINK("http://ovidsp.ovid.com/ovidweb.cgi?T=JS&amp;NEWS=n&amp;CSC=Y&amp;PAGE=toc&amp;D=yrovft&amp;AN=00003727-000000000-00000","http://ovidsp.ovid.com/ovidweb.cgi?T=JS&amp;NEWS=n&amp;CSC=Y&amp;PAGE=toc&amp;D=yrovft&amp;AN=00003727-000000000-00000")</f>
        <v>http://ovidsp.ovid.com/ovidweb.cgi?T=JS&amp;NEWS=n&amp;CSC=Y&amp;PAGE=toc&amp;D=yrovft&amp;AN=00003727-000000000-00000</v>
      </c>
      <c r="N96" s="6" t="s">
        <v>1117</v>
      </c>
      <c r="O96" s="6" t="s">
        <v>1578</v>
      </c>
      <c r="P96" s="6" t="b">
        <v>1</v>
      </c>
      <c r="Q96" s="8" t="s">
        <v>460</v>
      </c>
    </row>
    <row r="97" spans="1:17" x14ac:dyDescent="0.25">
      <c r="A97" s="4" t="s">
        <v>599</v>
      </c>
      <c r="B97" s="6" t="s">
        <v>140</v>
      </c>
      <c r="C97" s="6" t="s">
        <v>1117</v>
      </c>
      <c r="D97" s="6" t="s">
        <v>897</v>
      </c>
      <c r="E97" s="5">
        <v>44137</v>
      </c>
      <c r="F97" s="6">
        <v>21</v>
      </c>
      <c r="G97" s="6">
        <v>1</v>
      </c>
      <c r="H97" s="6">
        <v>26</v>
      </c>
      <c r="I97" s="6" t="s">
        <v>294</v>
      </c>
      <c r="J97" s="6" t="s">
        <v>1027</v>
      </c>
      <c r="K97" s="6" t="s">
        <v>1528</v>
      </c>
      <c r="L97" s="6" t="s">
        <v>739</v>
      </c>
      <c r="M97" s="7" t="str">
        <f>HYPERLINK("http://ovidsp.ovid.com/ovidweb.cgi?T=JS&amp;NEWS=n&amp;CSC=Y&amp;PAGE=toc&amp;D=yrovft&amp;AN=01436319-000000000-00000","http://ovidsp.ovid.com/ovidweb.cgi?T=JS&amp;NEWS=n&amp;CSC=Y&amp;PAGE=toc&amp;D=yrovft&amp;AN=01436319-000000000-00000")</f>
        <v>http://ovidsp.ovid.com/ovidweb.cgi?T=JS&amp;NEWS=n&amp;CSC=Y&amp;PAGE=toc&amp;D=yrovft&amp;AN=01436319-000000000-00000</v>
      </c>
      <c r="N97" s="6" t="s">
        <v>1117</v>
      </c>
      <c r="O97" s="6" t="s">
        <v>468</v>
      </c>
      <c r="P97" s="6" t="b">
        <v>1</v>
      </c>
      <c r="Q97" s="8" t="s">
        <v>333</v>
      </c>
    </row>
    <row r="98" spans="1:17" x14ac:dyDescent="0.25">
      <c r="A98" s="4" t="s">
        <v>905</v>
      </c>
      <c r="B98" s="6" t="s">
        <v>1086</v>
      </c>
      <c r="C98" s="6" t="s">
        <v>222</v>
      </c>
      <c r="D98" s="6" t="s">
        <v>256</v>
      </c>
      <c r="E98" s="5">
        <v>44137</v>
      </c>
      <c r="F98" s="6">
        <v>40</v>
      </c>
      <c r="G98" s="6">
        <v>1</v>
      </c>
      <c r="H98" s="6">
        <v>45</v>
      </c>
      <c r="I98" s="6">
        <v>4</v>
      </c>
      <c r="J98" s="6" t="s">
        <v>486</v>
      </c>
      <c r="K98" s="6" t="s">
        <v>1671</v>
      </c>
      <c r="L98" s="6" t="s">
        <v>206</v>
      </c>
      <c r="M98" s="7" t="str">
        <f>HYPERLINK("http://ovidsp.ovid.com/ovidweb.cgi?T=JS&amp;NEWS=n&amp;CSC=Y&amp;PAGE=toc&amp;D=yrovft&amp;AN=00004010-000000000-00000","http://ovidsp.ovid.com/ovidweb.cgi?T=JS&amp;NEWS=n&amp;CSC=Y&amp;PAGE=toc&amp;D=yrovft&amp;AN=00004010-000000000-00000")</f>
        <v>http://ovidsp.ovid.com/ovidweb.cgi?T=JS&amp;NEWS=n&amp;CSC=Y&amp;PAGE=toc&amp;D=yrovft&amp;AN=00004010-000000000-00000</v>
      </c>
      <c r="N98" s="6" t="s">
        <v>1117</v>
      </c>
      <c r="O98" s="6" t="s">
        <v>220</v>
      </c>
      <c r="P98" s="6" t="b">
        <v>1</v>
      </c>
      <c r="Q98" s="8" t="s">
        <v>587</v>
      </c>
    </row>
    <row r="99" spans="1:17" x14ac:dyDescent="0.25">
      <c r="A99" s="4" t="s">
        <v>433</v>
      </c>
      <c r="B99" s="6" t="s">
        <v>118</v>
      </c>
      <c r="C99" s="6" t="s">
        <v>1229</v>
      </c>
      <c r="D99" s="6" t="s">
        <v>256</v>
      </c>
      <c r="E99" s="5">
        <v>44137</v>
      </c>
      <c r="F99" s="6">
        <v>34</v>
      </c>
      <c r="G99" s="6">
        <v>1</v>
      </c>
      <c r="H99" s="6">
        <v>39</v>
      </c>
      <c r="I99" s="6">
        <v>3</v>
      </c>
      <c r="J99" s="6" t="s">
        <v>1011</v>
      </c>
      <c r="K99" s="6" t="s">
        <v>1671</v>
      </c>
      <c r="L99" s="6" t="s">
        <v>1318</v>
      </c>
      <c r="M99" s="7" t="str">
        <f>HYPERLINK("http://ovidsp.ovid.com/ovidweb.cgi?T=JS&amp;NEWS=n&amp;CSC=Y&amp;PAGE=toc&amp;D=yrovft&amp;AN=00126450-000000000-00000","http://ovidsp.ovid.com/ovidweb.cgi?T=JS&amp;NEWS=n&amp;CSC=Y&amp;PAGE=toc&amp;D=yrovft&amp;AN=00126450-000000000-00000")</f>
        <v>http://ovidsp.ovid.com/ovidweb.cgi?T=JS&amp;NEWS=n&amp;CSC=Y&amp;PAGE=toc&amp;D=yrovft&amp;AN=00126450-000000000-00000</v>
      </c>
      <c r="N99" s="6" t="s">
        <v>1117</v>
      </c>
      <c r="O99" s="6" t="s">
        <v>1165</v>
      </c>
      <c r="P99" s="6" t="b">
        <v>0</v>
      </c>
      <c r="Q99" s="8" t="s">
        <v>1117</v>
      </c>
    </row>
    <row r="100" spans="1:17" x14ac:dyDescent="0.25">
      <c r="A100" s="4" t="s">
        <v>613</v>
      </c>
      <c r="B100" s="6" t="s">
        <v>414</v>
      </c>
      <c r="C100" s="6" t="s">
        <v>1117</v>
      </c>
      <c r="D100" s="6" t="s">
        <v>256</v>
      </c>
      <c r="E100" s="5">
        <v>44137</v>
      </c>
      <c r="F100" s="6">
        <v>68</v>
      </c>
      <c r="G100" s="6">
        <v>1</v>
      </c>
      <c r="H100" s="6">
        <v>73</v>
      </c>
      <c r="I100" s="6">
        <v>10</v>
      </c>
      <c r="J100" s="6" t="s">
        <v>1189</v>
      </c>
      <c r="K100" s="6" t="s">
        <v>1349</v>
      </c>
      <c r="L100" s="6" t="s">
        <v>739</v>
      </c>
      <c r="M100" s="7" t="str">
        <f>HYPERLINK("http://ovidsp.ovid.com/ovidweb.cgi?T=JS&amp;NEWS=n&amp;CSC=Y&amp;PAGE=toc&amp;D=yrovft&amp;AN=00025572-000000000-00000","http://ovidsp.ovid.com/ovidweb.cgi?T=JS&amp;NEWS=n&amp;CSC=Y&amp;PAGE=toc&amp;D=yrovft&amp;AN=00025572-000000000-00000")</f>
        <v>http://ovidsp.ovid.com/ovidweb.cgi?T=JS&amp;NEWS=n&amp;CSC=Y&amp;PAGE=toc&amp;D=yrovft&amp;AN=00025572-000000000-00000</v>
      </c>
      <c r="N100" s="6" t="s">
        <v>1117</v>
      </c>
      <c r="O100" s="6" t="s">
        <v>1140</v>
      </c>
      <c r="P100" s="6" t="b">
        <v>0</v>
      </c>
      <c r="Q100" s="8" t="s">
        <v>1117</v>
      </c>
    </row>
    <row r="101" spans="1:17" x14ac:dyDescent="0.25">
      <c r="A101" s="4" t="s">
        <v>1691</v>
      </c>
      <c r="B101" s="6" t="s">
        <v>513</v>
      </c>
      <c r="C101" s="6" t="s">
        <v>153</v>
      </c>
      <c r="D101" s="6" t="s">
        <v>256</v>
      </c>
      <c r="E101" s="5">
        <v>44137</v>
      </c>
      <c r="F101" s="6">
        <v>29</v>
      </c>
      <c r="G101" s="6">
        <v>1</v>
      </c>
      <c r="H101" s="6">
        <v>34</v>
      </c>
      <c r="I101" s="6">
        <v>6</v>
      </c>
      <c r="J101" s="6" t="s">
        <v>1635</v>
      </c>
      <c r="K101" s="6" t="s">
        <v>1528</v>
      </c>
      <c r="L101" s="6" t="s">
        <v>270</v>
      </c>
      <c r="M101" s="7" t="str">
        <f>HYPERLINK("http://ovidsp.ovid.com/ovidweb.cgi?T=JS&amp;NEWS=n&amp;CSC=Y&amp;PAGE=toc&amp;D=yrovft&amp;AN=00004650-000000000-00000","http://ovidsp.ovid.com/ovidweb.cgi?T=JS&amp;NEWS=n&amp;CSC=Y&amp;PAGE=toc&amp;D=yrovft&amp;AN=00004650-000000000-00000")</f>
        <v>http://ovidsp.ovid.com/ovidweb.cgi?T=JS&amp;NEWS=n&amp;CSC=Y&amp;PAGE=toc&amp;D=yrovft&amp;AN=00004650-000000000-00000</v>
      </c>
      <c r="N101" s="6" t="s">
        <v>1117</v>
      </c>
      <c r="O101" s="6" t="s">
        <v>1061</v>
      </c>
      <c r="P101" s="6" t="b">
        <v>0</v>
      </c>
      <c r="Q101" s="8" t="s">
        <v>1117</v>
      </c>
    </row>
    <row r="102" spans="1:17" x14ac:dyDescent="0.25">
      <c r="A102" s="4" t="s">
        <v>254</v>
      </c>
      <c r="B102" s="6" t="s">
        <v>1581</v>
      </c>
      <c r="C102" s="6" t="s">
        <v>1117</v>
      </c>
      <c r="D102" s="6" t="s">
        <v>256</v>
      </c>
      <c r="E102" s="5">
        <v>44137</v>
      </c>
      <c r="F102" s="6">
        <v>33</v>
      </c>
      <c r="G102" s="6">
        <v>1</v>
      </c>
      <c r="H102" s="6">
        <v>38</v>
      </c>
      <c r="I102" s="6">
        <v>5</v>
      </c>
      <c r="J102" s="6" t="s">
        <v>1535</v>
      </c>
      <c r="K102" s="6" t="s">
        <v>1349</v>
      </c>
      <c r="L102" s="6" t="s">
        <v>452</v>
      </c>
      <c r="M102" s="7" t="str">
        <f>HYPERLINK("http://ovidsp.ovid.com/ovidweb.cgi?T=JS&amp;NEWS=n&amp;CSC=Y&amp;PAGE=toc&amp;D=yrovft&amp;AN=01845097-000000000-00000","http://ovidsp.ovid.com/ovidweb.cgi?T=JS&amp;NEWS=n&amp;CSC=Y&amp;PAGE=toc&amp;D=yrovft&amp;AN=01845097-000000000-00000")</f>
        <v>http://ovidsp.ovid.com/ovidweb.cgi?T=JS&amp;NEWS=n&amp;CSC=Y&amp;PAGE=toc&amp;D=yrovft&amp;AN=01845097-000000000-00000</v>
      </c>
      <c r="N102" s="6" t="s">
        <v>1117</v>
      </c>
      <c r="O102" s="6" t="s">
        <v>1042</v>
      </c>
      <c r="P102" s="6" t="b">
        <v>0</v>
      </c>
      <c r="Q102" s="8" t="s">
        <v>1117</v>
      </c>
    </row>
    <row r="103" spans="1:17" x14ac:dyDescent="0.25">
      <c r="A103" s="4" t="s">
        <v>686</v>
      </c>
      <c r="B103" s="6" t="s">
        <v>772</v>
      </c>
      <c r="C103" s="6" t="s">
        <v>705</v>
      </c>
      <c r="D103" s="6" t="s">
        <v>1179</v>
      </c>
      <c r="E103" s="5">
        <v>44137</v>
      </c>
      <c r="F103" s="6">
        <v>65</v>
      </c>
      <c r="G103" s="6">
        <v>1</v>
      </c>
      <c r="H103" s="6">
        <v>76</v>
      </c>
      <c r="I103" s="6">
        <v>5</v>
      </c>
      <c r="J103" s="6" t="s">
        <v>565</v>
      </c>
      <c r="K103" s="6" t="s">
        <v>1349</v>
      </c>
      <c r="L103" s="6" t="s">
        <v>1046</v>
      </c>
      <c r="M103" s="7" t="str">
        <f>HYPERLINK("http://ovidsp.ovid.com/ovidweb.cgi?T=JS&amp;NEWS=n&amp;CSC=Y&amp;PAGE=toc&amp;D=yrovft&amp;AN=00004268-000000000-00000","http://ovidsp.ovid.com/ovidweb.cgi?T=JS&amp;NEWS=n&amp;CSC=Y&amp;PAGE=toc&amp;D=yrovft&amp;AN=00004268-000000000-00000")</f>
        <v>http://ovidsp.ovid.com/ovidweb.cgi?T=JS&amp;NEWS=n&amp;CSC=Y&amp;PAGE=toc&amp;D=yrovft&amp;AN=00004268-000000000-00000</v>
      </c>
      <c r="N103" s="6" t="s">
        <v>1117</v>
      </c>
      <c r="O103" s="6" t="s">
        <v>219</v>
      </c>
      <c r="P103" s="6" t="b">
        <v>1</v>
      </c>
      <c r="Q103" s="8" t="s">
        <v>1558</v>
      </c>
    </row>
    <row r="104" spans="1:17" x14ac:dyDescent="0.25">
      <c r="A104" s="4" t="s">
        <v>1159</v>
      </c>
      <c r="B104" s="6" t="s">
        <v>1082</v>
      </c>
      <c r="C104" s="6" t="s">
        <v>715</v>
      </c>
      <c r="D104" s="6" t="s">
        <v>256</v>
      </c>
      <c r="E104" s="5">
        <v>44137</v>
      </c>
      <c r="F104" s="6">
        <v>28</v>
      </c>
      <c r="G104" s="6">
        <v>1</v>
      </c>
      <c r="H104" s="6">
        <v>33</v>
      </c>
      <c r="I104" s="6">
        <v>4</v>
      </c>
      <c r="J104" s="6" t="s">
        <v>486</v>
      </c>
      <c r="K104" s="6" t="s">
        <v>1671</v>
      </c>
      <c r="L104" s="6" t="s">
        <v>206</v>
      </c>
      <c r="M104" s="7" t="str">
        <f>HYPERLINK("http://ovidsp.ovid.com/ovidweb.cgi?T=JS&amp;NEWS=n&amp;CSC=Y&amp;PAGE=toc&amp;D=yrovft&amp;AN=00001163-000000000-00000","http://ovidsp.ovid.com/ovidweb.cgi?T=JS&amp;NEWS=n&amp;CSC=Y&amp;PAGE=toc&amp;D=yrovft&amp;AN=00001163-000000000-00000")</f>
        <v>http://ovidsp.ovid.com/ovidweb.cgi?T=JS&amp;NEWS=n&amp;CSC=Y&amp;PAGE=toc&amp;D=yrovft&amp;AN=00001163-000000000-00000</v>
      </c>
      <c r="N104" s="6" t="s">
        <v>1117</v>
      </c>
      <c r="O104" s="6" t="s">
        <v>1298</v>
      </c>
      <c r="P104" s="6" t="b">
        <v>0</v>
      </c>
      <c r="Q104" s="8" t="s">
        <v>1117</v>
      </c>
    </row>
    <row r="105" spans="1:17" x14ac:dyDescent="0.25">
      <c r="A105" s="4" t="s">
        <v>511</v>
      </c>
      <c r="B105" s="6" t="s">
        <v>425</v>
      </c>
      <c r="C105" s="6" t="s">
        <v>759</v>
      </c>
      <c r="D105" s="6" t="s">
        <v>256</v>
      </c>
      <c r="E105" s="5">
        <v>44137</v>
      </c>
      <c r="F105" s="6">
        <v>23</v>
      </c>
      <c r="G105" s="6">
        <v>1</v>
      </c>
      <c r="H105" s="6">
        <v>28</v>
      </c>
      <c r="I105" s="6">
        <v>5</v>
      </c>
      <c r="J105" s="6" t="s">
        <v>838</v>
      </c>
      <c r="K105" s="6" t="s">
        <v>1349</v>
      </c>
      <c r="L105" s="6" t="s">
        <v>553</v>
      </c>
      <c r="M105" s="7" t="str">
        <f>HYPERLINK("http://ovidsp.ovid.com/ovidweb.cgi?T=JS&amp;NEWS=n&amp;CSC=Y&amp;PAGE=toc&amp;D=yrovft&amp;AN=00019048-000000000-00000","http://ovidsp.ovid.com/ovidweb.cgi?T=JS&amp;NEWS=n&amp;CSC=Y&amp;PAGE=toc&amp;D=yrovft&amp;AN=00019048-000000000-00000")</f>
        <v>http://ovidsp.ovid.com/ovidweb.cgi?T=JS&amp;NEWS=n&amp;CSC=Y&amp;PAGE=toc&amp;D=yrovft&amp;AN=00019048-000000000-00000</v>
      </c>
      <c r="N105" s="6" t="s">
        <v>1117</v>
      </c>
      <c r="O105" s="6" t="s">
        <v>57</v>
      </c>
      <c r="P105" s="6" t="b">
        <v>0</v>
      </c>
      <c r="Q105" s="8" t="s">
        <v>1117</v>
      </c>
    </row>
    <row r="106" spans="1:17" x14ac:dyDescent="0.25">
      <c r="A106" s="4" t="s">
        <v>1674</v>
      </c>
      <c r="B106" s="6" t="s">
        <v>1372</v>
      </c>
      <c r="C106" s="6" t="s">
        <v>1430</v>
      </c>
      <c r="D106" s="6" t="s">
        <v>256</v>
      </c>
      <c r="E106" s="5">
        <v>44137</v>
      </c>
      <c r="F106" s="6">
        <v>53</v>
      </c>
      <c r="G106" s="6">
        <v>1</v>
      </c>
      <c r="H106" s="6">
        <v>58</v>
      </c>
      <c r="I106" s="6">
        <v>4</v>
      </c>
      <c r="J106" s="6" t="s">
        <v>135</v>
      </c>
      <c r="K106" s="6" t="s">
        <v>69</v>
      </c>
      <c r="L106" s="6" t="s">
        <v>525</v>
      </c>
      <c r="M106" s="7" t="str">
        <f>HYPERLINK("http://ovidsp.ovid.com/ovidweb.cgi?T=JS&amp;NEWS=n&amp;CSC=Y&amp;PAGE=toc&amp;D=yrovft&amp;AN=00004311-000000000-00000","http://ovidsp.ovid.com/ovidweb.cgi?T=JS&amp;NEWS=n&amp;CSC=Y&amp;PAGE=toc&amp;D=yrovft&amp;AN=00004311-000000000-00000")</f>
        <v>http://ovidsp.ovid.com/ovidweb.cgi?T=JS&amp;NEWS=n&amp;CSC=Y&amp;PAGE=toc&amp;D=yrovft&amp;AN=00004311-000000000-00000</v>
      </c>
      <c r="N106" s="6" t="s">
        <v>1117</v>
      </c>
      <c r="O106" s="6" t="s">
        <v>1724</v>
      </c>
      <c r="P106" s="6" t="b">
        <v>0</v>
      </c>
      <c r="Q106" s="8" t="s">
        <v>1117</v>
      </c>
    </row>
    <row r="107" spans="1:17" x14ac:dyDescent="0.25">
      <c r="A107" s="4" t="s">
        <v>464</v>
      </c>
      <c r="B107" s="6" t="s">
        <v>668</v>
      </c>
      <c r="C107" s="6" t="s">
        <v>724</v>
      </c>
      <c r="D107" s="6" t="s">
        <v>256</v>
      </c>
      <c r="E107" s="5">
        <v>44137</v>
      </c>
      <c r="F107" s="6">
        <v>30</v>
      </c>
      <c r="G107" s="6">
        <v>1</v>
      </c>
      <c r="H107" s="6">
        <v>35</v>
      </c>
      <c r="I107" s="6">
        <v>6</v>
      </c>
      <c r="J107" s="6" t="s">
        <v>565</v>
      </c>
      <c r="K107" s="6" t="s">
        <v>1349</v>
      </c>
      <c r="L107" s="6" t="s">
        <v>1046</v>
      </c>
      <c r="M107" s="7" t="str">
        <f>HYPERLINK("http://ovidsp.ovid.com/ovidweb.cgi?T=JS&amp;NEWS=n&amp;CSC=Y&amp;PAGE=toc&amp;D=yrovft&amp;AN=00004850-000000000-00000","http://ovidsp.ovid.com/ovidweb.cgi?T=JS&amp;NEWS=n&amp;CSC=Y&amp;PAGE=toc&amp;D=yrovft&amp;AN=00004850-000000000-00000")</f>
        <v>http://ovidsp.ovid.com/ovidweb.cgi?T=JS&amp;NEWS=n&amp;CSC=Y&amp;PAGE=toc&amp;D=yrovft&amp;AN=00004850-000000000-00000</v>
      </c>
      <c r="N107" s="6" t="s">
        <v>1117</v>
      </c>
      <c r="O107" s="6" t="s">
        <v>37</v>
      </c>
      <c r="P107" s="6" t="b">
        <v>0</v>
      </c>
      <c r="Q107" s="8" t="s">
        <v>1117</v>
      </c>
    </row>
    <row r="108" spans="1:17" x14ac:dyDescent="0.25">
      <c r="A108" s="4" t="s">
        <v>839</v>
      </c>
      <c r="B108" s="6" t="s">
        <v>635</v>
      </c>
      <c r="C108" s="6" t="s">
        <v>1043</v>
      </c>
      <c r="D108" s="6" t="s">
        <v>256</v>
      </c>
      <c r="E108" s="5">
        <v>44137</v>
      </c>
      <c r="F108" s="6">
        <v>38</v>
      </c>
      <c r="G108" s="6">
        <v>1</v>
      </c>
      <c r="H108" s="6">
        <v>43</v>
      </c>
      <c r="I108" s="6">
        <v>3</v>
      </c>
      <c r="J108" s="6" t="s">
        <v>1231</v>
      </c>
      <c r="K108" s="6" t="s">
        <v>365</v>
      </c>
      <c r="L108" s="6" t="s">
        <v>553</v>
      </c>
      <c r="M108" s="7" t="str">
        <f>HYPERLINK("http://ovidsp.ovid.com/ovidweb.cgi?T=JS&amp;NEWS=n&amp;CSC=Y&amp;PAGE=toc&amp;D=yrovft&amp;AN=00004356-000000000-00000","http://ovidsp.ovid.com/ovidweb.cgi?T=JS&amp;NEWS=n&amp;CSC=Y&amp;PAGE=toc&amp;D=yrovft&amp;AN=00004356-000000000-00000")</f>
        <v>http://ovidsp.ovid.com/ovidweb.cgi?T=JS&amp;NEWS=n&amp;CSC=Y&amp;PAGE=toc&amp;D=yrovft&amp;AN=00004356-000000000-00000</v>
      </c>
      <c r="N108" s="6" t="s">
        <v>1117</v>
      </c>
      <c r="O108" s="6" t="s">
        <v>911</v>
      </c>
      <c r="P108" s="6" t="b">
        <v>1</v>
      </c>
      <c r="Q108" s="8" t="s">
        <v>1612</v>
      </c>
    </row>
    <row r="109" spans="1:17" x14ac:dyDescent="0.25">
      <c r="A109" s="4" t="s">
        <v>1299</v>
      </c>
      <c r="B109" s="6" t="s">
        <v>216</v>
      </c>
      <c r="C109" s="6" t="s">
        <v>1530</v>
      </c>
      <c r="D109" s="6" t="s">
        <v>256</v>
      </c>
      <c r="E109" s="5">
        <v>44137</v>
      </c>
      <c r="F109" s="6">
        <v>55</v>
      </c>
      <c r="G109" s="6">
        <v>1</v>
      </c>
      <c r="H109" s="6">
        <v>60</v>
      </c>
      <c r="I109" s="6">
        <v>4</v>
      </c>
      <c r="J109" s="6" t="s">
        <v>135</v>
      </c>
      <c r="K109" s="6" t="s">
        <v>69</v>
      </c>
      <c r="L109" s="6" t="s">
        <v>525</v>
      </c>
      <c r="M109" s="7" t="str">
        <f>HYPERLINK("http://ovidsp.ovid.com/ovidweb.cgi?T=JS&amp;NEWS=n&amp;CSC=Y&amp;PAGE=toc&amp;D=yrovft&amp;AN=00004397-000000000-00000","http://ovidsp.ovid.com/ovidweb.cgi?T=JS&amp;NEWS=n&amp;CSC=Y&amp;PAGE=toc&amp;D=yrovft&amp;AN=00004397-000000000-00000")</f>
        <v>http://ovidsp.ovid.com/ovidweb.cgi?T=JS&amp;NEWS=n&amp;CSC=Y&amp;PAGE=toc&amp;D=yrovft&amp;AN=00004397-000000000-00000</v>
      </c>
      <c r="N109" s="6" t="s">
        <v>1117</v>
      </c>
      <c r="O109" s="6" t="s">
        <v>207</v>
      </c>
      <c r="P109" s="6" t="b">
        <v>0</v>
      </c>
      <c r="Q109" s="8" t="s">
        <v>1117</v>
      </c>
    </row>
    <row r="110" spans="1:17" x14ac:dyDescent="0.25">
      <c r="A110" s="4" t="s">
        <v>1276</v>
      </c>
      <c r="B110" s="6" t="s">
        <v>951</v>
      </c>
      <c r="C110" s="6" t="s">
        <v>4</v>
      </c>
      <c r="D110" s="6" t="s">
        <v>256</v>
      </c>
      <c r="E110" s="5">
        <v>44137</v>
      </c>
      <c r="F110" s="6">
        <v>50</v>
      </c>
      <c r="G110" s="6">
        <v>1</v>
      </c>
      <c r="H110" s="6">
        <v>55</v>
      </c>
      <c r="I110" s="6">
        <v>11</v>
      </c>
      <c r="J110" s="6" t="s">
        <v>565</v>
      </c>
      <c r="K110" s="6" t="s">
        <v>1349</v>
      </c>
      <c r="L110" s="6" t="s">
        <v>1046</v>
      </c>
      <c r="M110" s="7" t="str">
        <f>HYPERLINK("http://ovidsp.ovid.com/ovidweb.cgi?T=JS&amp;NEWS=n&amp;CSC=Y&amp;PAGE=toc&amp;D=yrovft&amp;AN=00004424-000000000-00000","http://ovidsp.ovid.com/ovidweb.cgi?T=JS&amp;NEWS=n&amp;CSC=Y&amp;PAGE=toc&amp;D=yrovft&amp;AN=00004424-000000000-00000")</f>
        <v>http://ovidsp.ovid.com/ovidweb.cgi?T=JS&amp;NEWS=n&amp;CSC=Y&amp;PAGE=toc&amp;D=yrovft&amp;AN=00004424-000000000-00000</v>
      </c>
      <c r="N110" s="6" t="s">
        <v>1117</v>
      </c>
      <c r="O110" s="6" t="s">
        <v>215</v>
      </c>
      <c r="P110" s="6" t="b">
        <v>1</v>
      </c>
      <c r="Q110" s="8" t="s">
        <v>610</v>
      </c>
    </row>
    <row r="111" spans="1:17" x14ac:dyDescent="0.25">
      <c r="A111" s="4" t="s">
        <v>786</v>
      </c>
      <c r="B111" s="6" t="s">
        <v>606</v>
      </c>
      <c r="C111" s="6" t="s">
        <v>1117</v>
      </c>
      <c r="D111" s="6" t="s">
        <v>28</v>
      </c>
      <c r="E111" s="5">
        <v>44137</v>
      </c>
      <c r="F111" s="6">
        <v>1</v>
      </c>
      <c r="G111" s="6">
        <v>1</v>
      </c>
      <c r="H111" s="6">
        <v>4</v>
      </c>
      <c r="I111" s="6">
        <v>10</v>
      </c>
      <c r="J111" s="6" t="s">
        <v>426</v>
      </c>
      <c r="K111" s="6" t="s">
        <v>286</v>
      </c>
      <c r="L111" s="6" t="s">
        <v>739</v>
      </c>
      <c r="M111" s="7" t="str">
        <f>HYPERLINK("http://ovidsp.ovid.com/ovidweb.cgi?T=JS&amp;NEWS=n&amp;CSC=Y&amp;PAGE=toc&amp;D=yrovft&amp;AN=01979360-000000000-00000","http://ovidsp.ovid.com/ovidweb.cgi?T=JS&amp;NEWS=n&amp;CSC=Y&amp;PAGE=toc&amp;D=yrovft&amp;AN=01979360-000000000-00000")</f>
        <v>http://ovidsp.ovid.com/ovidweb.cgi?T=JS&amp;NEWS=n&amp;CSC=Y&amp;PAGE=toc&amp;D=yrovft&amp;AN=01979360-000000000-00000</v>
      </c>
      <c r="N111" s="6" t="s">
        <v>1117</v>
      </c>
      <c r="O111" s="6" t="s">
        <v>231</v>
      </c>
      <c r="P111" s="6" t="b">
        <v>0</v>
      </c>
      <c r="Q111" s="8" t="s">
        <v>1117</v>
      </c>
    </row>
    <row r="112" spans="1:17" x14ac:dyDescent="0.25">
      <c r="A112" s="4" t="s">
        <v>1003</v>
      </c>
      <c r="B112" s="6" t="s">
        <v>6</v>
      </c>
      <c r="C112" s="6" t="s">
        <v>1101</v>
      </c>
      <c r="D112" s="6" t="s">
        <v>256</v>
      </c>
      <c r="E112" s="5">
        <v>44137</v>
      </c>
      <c r="F112" s="6">
        <v>68</v>
      </c>
      <c r="G112" s="6">
        <v>1</v>
      </c>
      <c r="H112" s="6">
        <v>85</v>
      </c>
      <c r="I112" s="6">
        <v>3</v>
      </c>
      <c r="J112" s="6" t="s">
        <v>1081</v>
      </c>
      <c r="K112" s="6" t="s">
        <v>512</v>
      </c>
      <c r="L112" s="6" t="s">
        <v>780</v>
      </c>
      <c r="M112" s="7" t="str">
        <f>HYPERLINK("http://ovidsp.ovid.com/ovidweb.cgi?T=JS&amp;NEWS=n&amp;CSC=Y&amp;PAGE=toc&amp;D=yrovft&amp;AN=00126334-000000000-00000","http://ovidsp.ovid.com/ovidweb.cgi?T=JS&amp;NEWS=n&amp;CSC=Y&amp;PAGE=toc&amp;D=yrovft&amp;AN=00126334-000000000-00000")</f>
        <v>http://ovidsp.ovid.com/ovidweb.cgi?T=JS&amp;NEWS=n&amp;CSC=Y&amp;PAGE=toc&amp;D=yrovft&amp;AN=00126334-000000000-00000</v>
      </c>
      <c r="N112" s="6" t="s">
        <v>1117</v>
      </c>
      <c r="O112" s="6" t="s">
        <v>265</v>
      </c>
      <c r="P112" s="6" t="b">
        <v>1</v>
      </c>
      <c r="Q112" s="8" t="s">
        <v>773</v>
      </c>
    </row>
    <row r="113" spans="1:17" x14ac:dyDescent="0.25">
      <c r="A113" s="4" t="s">
        <v>1222</v>
      </c>
      <c r="B113" s="6" t="s">
        <v>1204</v>
      </c>
      <c r="C113" s="6" t="s">
        <v>1204</v>
      </c>
      <c r="D113" s="6" t="s">
        <v>687</v>
      </c>
      <c r="E113" s="5">
        <v>44137</v>
      </c>
      <c r="F113" s="6">
        <v>1</v>
      </c>
      <c r="G113" s="6">
        <v>1</v>
      </c>
      <c r="H113" s="6">
        <v>10</v>
      </c>
      <c r="I113" s="6">
        <v>4</v>
      </c>
      <c r="J113" s="6" t="s">
        <v>1721</v>
      </c>
      <c r="K113" s="6" t="s">
        <v>1756</v>
      </c>
      <c r="L113" s="6" t="s">
        <v>193</v>
      </c>
      <c r="M113" s="7" t="str">
        <f>HYPERLINK("http://ovidsp.ovid.com/ovidweb.cgi?T=JS&amp;NEWS=n&amp;CSC=Y&amp;PAGE=toc&amp;D=yrovft&amp;AN=01709767-000000000-00000","http://ovidsp.ovid.com/ovidweb.cgi?T=JS&amp;NEWS=n&amp;CSC=Y&amp;PAGE=toc&amp;D=yrovft&amp;AN=01709767-000000000-00000")</f>
        <v>http://ovidsp.ovid.com/ovidweb.cgi?T=JS&amp;NEWS=n&amp;CSC=Y&amp;PAGE=toc&amp;D=yrovft&amp;AN=01709767-000000000-00000</v>
      </c>
      <c r="N113" s="6" t="s">
        <v>1117</v>
      </c>
      <c r="O113" s="6" t="s">
        <v>65</v>
      </c>
      <c r="P113" s="6" t="b">
        <v>0</v>
      </c>
      <c r="Q113" s="8" t="s">
        <v>1117</v>
      </c>
    </row>
    <row r="114" spans="1:17" x14ac:dyDescent="0.25">
      <c r="A114" s="4" t="s">
        <v>188</v>
      </c>
      <c r="B114" s="6" t="s">
        <v>1693</v>
      </c>
      <c r="C114" s="6" t="s">
        <v>1117</v>
      </c>
      <c r="D114" s="6" t="s">
        <v>687</v>
      </c>
      <c r="E114" s="5">
        <v>44137</v>
      </c>
      <c r="F114" s="6">
        <v>1</v>
      </c>
      <c r="G114" s="6">
        <v>1</v>
      </c>
      <c r="H114" s="6">
        <v>10</v>
      </c>
      <c r="I114" s="6">
        <v>3</v>
      </c>
      <c r="J114" s="6" t="s">
        <v>1622</v>
      </c>
      <c r="K114" s="6" t="s">
        <v>1412</v>
      </c>
      <c r="L114" s="6" t="s">
        <v>367</v>
      </c>
      <c r="M114" s="7" t="str">
        <f>HYPERLINK("http://ovidsp.ovid.com/ovidweb.cgi?T=JS&amp;NEWS=n&amp;CSC=Y&amp;PAGE=toc&amp;D=yrovft&amp;AN=01709766-000000000-00000","http://ovidsp.ovid.com/ovidweb.cgi?T=JS&amp;NEWS=n&amp;CSC=Y&amp;PAGE=toc&amp;D=yrovft&amp;AN=01709766-000000000-00000")</f>
        <v>http://ovidsp.ovid.com/ovidweb.cgi?T=JS&amp;NEWS=n&amp;CSC=Y&amp;PAGE=toc&amp;D=yrovft&amp;AN=01709766-000000000-00000</v>
      </c>
      <c r="N114" s="6" t="s">
        <v>1117</v>
      </c>
      <c r="O114" s="6" t="s">
        <v>1677</v>
      </c>
      <c r="P114" s="6" t="b">
        <v>0</v>
      </c>
      <c r="Q114" s="8" t="s">
        <v>1117</v>
      </c>
    </row>
    <row r="115" spans="1:17" x14ac:dyDescent="0.25">
      <c r="A115" s="4" t="s">
        <v>824</v>
      </c>
      <c r="B115" s="6" t="s">
        <v>763</v>
      </c>
      <c r="C115" s="6" t="s">
        <v>866</v>
      </c>
      <c r="D115" s="6" t="s">
        <v>1699</v>
      </c>
      <c r="E115" s="5">
        <v>44137</v>
      </c>
      <c r="F115" s="6">
        <v>1</v>
      </c>
      <c r="G115" s="6">
        <v>1</v>
      </c>
      <c r="H115" s="6">
        <v>5</v>
      </c>
      <c r="I115" s="6">
        <v>4</v>
      </c>
      <c r="J115" s="6" t="s">
        <v>336</v>
      </c>
      <c r="K115" s="6" t="s">
        <v>1418</v>
      </c>
      <c r="L115" s="6" t="s">
        <v>193</v>
      </c>
      <c r="M115" s="7" t="str">
        <f>HYPERLINK("http://ovidsp.ovid.com/ovidweb.cgi?T=JS&amp;NEWS=n&amp;CSC=Y&amp;PAGE=toc&amp;D=yrovft&amp;AN=01960901-000000000-00000","http://ovidsp.ovid.com/ovidweb.cgi?T=JS&amp;NEWS=n&amp;CSC=Y&amp;PAGE=toc&amp;D=yrovft&amp;AN=01960901-000000000-00000")</f>
        <v>http://ovidsp.ovid.com/ovidweb.cgi?T=JS&amp;NEWS=n&amp;CSC=Y&amp;PAGE=toc&amp;D=yrovft&amp;AN=01960901-000000000-00000</v>
      </c>
      <c r="N115" s="6" t="s">
        <v>1117</v>
      </c>
      <c r="O115" s="6" t="s">
        <v>818</v>
      </c>
      <c r="P115" s="6" t="b">
        <v>0</v>
      </c>
      <c r="Q115" s="8" t="s">
        <v>1117</v>
      </c>
    </row>
    <row r="116" spans="1:17" x14ac:dyDescent="0.25">
      <c r="A116" s="4" t="s">
        <v>167</v>
      </c>
      <c r="B116" s="6" t="s">
        <v>1211</v>
      </c>
      <c r="C116" s="6" t="s">
        <v>1211</v>
      </c>
      <c r="D116" s="6" t="s">
        <v>687</v>
      </c>
      <c r="E116" s="5">
        <v>44137</v>
      </c>
      <c r="F116" s="6">
        <v>1</v>
      </c>
      <c r="G116" s="6">
        <v>1</v>
      </c>
      <c r="H116" s="6">
        <v>8</v>
      </c>
      <c r="I116" s="6">
        <v>10</v>
      </c>
      <c r="J116" s="6" t="s">
        <v>51</v>
      </c>
      <c r="K116" s="6" t="s">
        <v>889</v>
      </c>
      <c r="L116" s="6" t="s">
        <v>739</v>
      </c>
      <c r="M116" s="7" t="str">
        <f>HYPERLINK("http://ovidsp.ovid.com/ovidweb.cgi?T=JS&amp;NEWS=n&amp;CSC=Y&amp;PAGE=toc&amp;D=yrovft&amp;AN=01874474-000000000-00000","http://ovidsp.ovid.com/ovidweb.cgi?T=JS&amp;NEWS=n&amp;CSC=Y&amp;PAGE=toc&amp;D=yrovft&amp;AN=01874474-000000000-00000")</f>
        <v>http://ovidsp.ovid.com/ovidweb.cgi?T=JS&amp;NEWS=n&amp;CSC=Y&amp;PAGE=toc&amp;D=yrovft&amp;AN=01874474-000000000-00000</v>
      </c>
      <c r="N116" s="6" t="s">
        <v>1117</v>
      </c>
      <c r="O116" s="6" t="s">
        <v>1274</v>
      </c>
      <c r="P116" s="6" t="b">
        <v>0</v>
      </c>
      <c r="Q116" s="8" t="s">
        <v>1117</v>
      </c>
    </row>
    <row r="117" spans="1:17" x14ac:dyDescent="0.25">
      <c r="A117" s="4" t="s">
        <v>573</v>
      </c>
      <c r="B117" s="6" t="s">
        <v>1588</v>
      </c>
      <c r="C117" s="6" t="s">
        <v>1655</v>
      </c>
      <c r="D117" s="6" t="s">
        <v>256</v>
      </c>
      <c r="E117" s="5">
        <v>44137</v>
      </c>
      <c r="F117" s="6">
        <v>21</v>
      </c>
      <c r="G117" s="6">
        <v>1</v>
      </c>
      <c r="H117" s="6">
        <v>26</v>
      </c>
      <c r="I117" s="6" t="s">
        <v>1619</v>
      </c>
      <c r="J117" s="6" t="s">
        <v>1189</v>
      </c>
      <c r="K117" s="6" t="s">
        <v>1349</v>
      </c>
      <c r="L117" s="6" t="s">
        <v>739</v>
      </c>
      <c r="M117" s="7" t="str">
        <f>HYPERLINK("http://ovidsp.ovid.com/ovidweb.cgi?T=JS&amp;NEWS=n&amp;CSC=Y&amp;PAGE=toc&amp;D=yrovft&amp;AN=00124743-000000000-00000","http://ovidsp.ovid.com/ovidweb.cgi?T=JS&amp;NEWS=n&amp;CSC=Y&amp;PAGE=toc&amp;D=yrovft&amp;AN=00124743-000000000-00000")</f>
        <v>http://ovidsp.ovid.com/ovidweb.cgi?T=JS&amp;NEWS=n&amp;CSC=Y&amp;PAGE=toc&amp;D=yrovft&amp;AN=00124743-000000000-00000</v>
      </c>
      <c r="N117" s="6" t="s">
        <v>1117</v>
      </c>
      <c r="O117" s="6" t="s">
        <v>1036</v>
      </c>
      <c r="P117" s="6" t="b">
        <v>1</v>
      </c>
      <c r="Q117" s="8" t="s">
        <v>1471</v>
      </c>
    </row>
    <row r="118" spans="1:17" x14ac:dyDescent="0.25">
      <c r="A118" s="4" t="s">
        <v>670</v>
      </c>
      <c r="B118" s="6" t="s">
        <v>1716</v>
      </c>
      <c r="C118" s="6" t="s">
        <v>278</v>
      </c>
      <c r="D118" s="6" t="s">
        <v>256</v>
      </c>
      <c r="E118" s="5">
        <v>44137</v>
      </c>
      <c r="F118" s="6">
        <v>38</v>
      </c>
      <c r="G118" s="6">
        <v>1</v>
      </c>
      <c r="H118" s="6">
        <v>43</v>
      </c>
      <c r="I118" s="6">
        <v>4</v>
      </c>
      <c r="J118" s="6" t="s">
        <v>486</v>
      </c>
      <c r="K118" s="6" t="s">
        <v>1671</v>
      </c>
      <c r="L118" s="6" t="s">
        <v>206</v>
      </c>
      <c r="M118" s="7" t="str">
        <f>HYPERLINK("http://ovidsp.ovid.com/ovidweb.cgi?T=JS&amp;NEWS=n&amp;CSC=Y&amp;PAGE=toc&amp;D=yrovft&amp;AN=00004479-000000000-00000","http://ovidsp.ovid.com/ovidweb.cgi?T=JS&amp;NEWS=n&amp;CSC=Y&amp;PAGE=toc&amp;D=yrovft&amp;AN=00004479-000000000-00000")</f>
        <v>http://ovidsp.ovid.com/ovidweb.cgi?T=JS&amp;NEWS=n&amp;CSC=Y&amp;PAGE=toc&amp;D=yrovft&amp;AN=00004479-000000000-00000</v>
      </c>
      <c r="N118" s="6" t="s">
        <v>1117</v>
      </c>
      <c r="O118" s="6" t="s">
        <v>1390</v>
      </c>
      <c r="P118" s="6" t="b">
        <v>1</v>
      </c>
      <c r="Q118" s="8" t="s">
        <v>55</v>
      </c>
    </row>
    <row r="119" spans="1:17" x14ac:dyDescent="0.25">
      <c r="A119" s="4" t="s">
        <v>1059</v>
      </c>
      <c r="B119" s="6" t="s">
        <v>89</v>
      </c>
      <c r="C119" s="6" t="s">
        <v>866</v>
      </c>
      <c r="D119" s="6" t="s">
        <v>827</v>
      </c>
      <c r="E119" s="5">
        <v>44137</v>
      </c>
      <c r="F119" s="6">
        <v>97</v>
      </c>
      <c r="G119" s="6">
        <v>1</v>
      </c>
      <c r="H119" s="6">
        <v>102</v>
      </c>
      <c r="I119" s="6">
        <v>20</v>
      </c>
      <c r="J119" s="6" t="s">
        <v>66</v>
      </c>
      <c r="K119" s="6" t="s">
        <v>1279</v>
      </c>
      <c r="L119" s="6" t="s">
        <v>1151</v>
      </c>
      <c r="M119" s="7" t="str">
        <f>HYPERLINK("http://ovidsp.ovid.com/ovidweb.cgi?T=JS&amp;NEWS=n&amp;CSC=Y&amp;PAGE=toc&amp;D=yrovft&amp;AN=00004623-000000000-00000","http://ovidsp.ovid.com/ovidweb.cgi?T=JS&amp;NEWS=n&amp;CSC=Y&amp;PAGE=toc&amp;D=yrovft&amp;AN=00004623-000000000-00000")</f>
        <v>http://ovidsp.ovid.com/ovidweb.cgi?T=JS&amp;NEWS=n&amp;CSC=Y&amp;PAGE=toc&amp;D=yrovft&amp;AN=00004623-000000000-00000</v>
      </c>
      <c r="N119" s="6" t="s">
        <v>1117</v>
      </c>
      <c r="O119" s="6" t="s">
        <v>1343</v>
      </c>
      <c r="P119" s="6" t="b">
        <v>1</v>
      </c>
      <c r="Q119" s="8" t="s">
        <v>145</v>
      </c>
    </row>
    <row r="120" spans="1:17" x14ac:dyDescent="0.25">
      <c r="A120" s="4" t="s">
        <v>1034</v>
      </c>
      <c r="B120" s="6" t="s">
        <v>1730</v>
      </c>
      <c r="C120" s="6" t="s">
        <v>221</v>
      </c>
      <c r="D120" s="6" t="s">
        <v>256</v>
      </c>
      <c r="E120" s="5">
        <v>44137</v>
      </c>
      <c r="F120" s="6">
        <v>22</v>
      </c>
      <c r="G120" s="6">
        <v>1</v>
      </c>
      <c r="H120" s="6">
        <v>27</v>
      </c>
      <c r="I120" s="6">
        <v>4</v>
      </c>
      <c r="J120" s="6" t="s">
        <v>1189</v>
      </c>
      <c r="K120" s="6" t="s">
        <v>1349</v>
      </c>
      <c r="L120" s="6" t="s">
        <v>739</v>
      </c>
      <c r="M120" s="7" t="str">
        <f>HYPERLINK("http://ovidsp.ovid.com/ovidweb.cgi?T=JS&amp;NEWS=n&amp;CSC=Y&amp;PAGE=toc&amp;D=yrovft&amp;AN=01436970-000000000-00000","http://ovidsp.ovid.com/ovidweb.cgi?T=JS&amp;NEWS=n&amp;CSC=Y&amp;PAGE=toc&amp;D=yrovft&amp;AN=01436970-000000000-00000")</f>
        <v>http://ovidsp.ovid.com/ovidweb.cgi?T=JS&amp;NEWS=n&amp;CSC=Y&amp;PAGE=toc&amp;D=yrovft&amp;AN=01436970-000000000-00000</v>
      </c>
      <c r="N120" s="6" t="s">
        <v>1117</v>
      </c>
      <c r="O120" s="6" t="s">
        <v>359</v>
      </c>
      <c r="P120" s="6" t="b">
        <v>1</v>
      </c>
      <c r="Q120" s="8" t="s">
        <v>1605</v>
      </c>
    </row>
    <row r="121" spans="1:17" x14ac:dyDescent="0.25">
      <c r="A121" s="4" t="s">
        <v>1410</v>
      </c>
      <c r="B121" s="6" t="s">
        <v>194</v>
      </c>
      <c r="C121" s="6" t="s">
        <v>75</v>
      </c>
      <c r="D121" s="6" t="s">
        <v>256</v>
      </c>
      <c r="E121" s="5">
        <v>44137</v>
      </c>
      <c r="F121" s="6">
        <v>35</v>
      </c>
      <c r="G121" s="6">
        <v>1</v>
      </c>
      <c r="H121" s="6">
        <v>40</v>
      </c>
      <c r="I121" s="6">
        <v>5</v>
      </c>
      <c r="J121" s="6" t="s">
        <v>1433</v>
      </c>
      <c r="K121" s="6" t="s">
        <v>1528</v>
      </c>
      <c r="L121" s="6" t="s">
        <v>553</v>
      </c>
      <c r="M121" s="7" t="str">
        <f>HYPERLINK("http://ovidsp.ovid.com/ovidweb.cgi?T=JS&amp;NEWS=n&amp;CSC=Y&amp;PAGE=toc&amp;D=yrovft&amp;AN=01273116-000000000-00000","http://ovidsp.ovid.com/ovidweb.cgi?T=JS&amp;NEWS=n&amp;CSC=Y&amp;PAGE=toc&amp;D=yrovft&amp;AN=01273116-000000000-00000")</f>
        <v>http://ovidsp.ovid.com/ovidweb.cgi?T=JS&amp;NEWS=n&amp;CSC=Y&amp;PAGE=toc&amp;D=yrovft&amp;AN=01273116-000000000-00000</v>
      </c>
      <c r="N121" s="6" t="s">
        <v>1117</v>
      </c>
      <c r="O121" s="6" t="s">
        <v>864</v>
      </c>
      <c r="P121" s="6" t="b">
        <v>1</v>
      </c>
      <c r="Q121" s="8" t="s">
        <v>1136</v>
      </c>
    </row>
    <row r="122" spans="1:17" x14ac:dyDescent="0.25">
      <c r="A122" s="4" t="s">
        <v>1429</v>
      </c>
      <c r="B122" s="6" t="s">
        <v>1711</v>
      </c>
      <c r="C122" s="6" t="s">
        <v>561</v>
      </c>
      <c r="D122" s="6" t="s">
        <v>256</v>
      </c>
      <c r="E122" s="5">
        <v>44137</v>
      </c>
      <c r="F122" s="6">
        <v>30</v>
      </c>
      <c r="G122" s="6">
        <v>1</v>
      </c>
      <c r="H122" s="6">
        <v>35</v>
      </c>
      <c r="I122" s="6">
        <v>6</v>
      </c>
      <c r="J122" s="6" t="s">
        <v>1635</v>
      </c>
      <c r="K122" s="6" t="s">
        <v>1528</v>
      </c>
      <c r="L122" s="6" t="s">
        <v>270</v>
      </c>
      <c r="M122" s="7" t="str">
        <f>HYPERLINK("http://ovidsp.ovid.com/ovidweb.cgi?T=JS&amp;NEWS=n&amp;CSC=Y&amp;PAGE=toc&amp;D=yrovft&amp;AN=00005082-000000000-00000","http://ovidsp.ovid.com/ovidweb.cgi?T=JS&amp;NEWS=n&amp;CSC=Y&amp;PAGE=toc&amp;D=yrovft&amp;AN=00005082-000000000-00000")</f>
        <v>http://ovidsp.ovid.com/ovidweb.cgi?T=JS&amp;NEWS=n&amp;CSC=Y&amp;PAGE=toc&amp;D=yrovft&amp;AN=00005082-000000000-00000</v>
      </c>
      <c r="N122" s="6" t="s">
        <v>1117</v>
      </c>
      <c r="O122" s="6" t="s">
        <v>197</v>
      </c>
      <c r="P122" s="6" t="b">
        <v>1</v>
      </c>
      <c r="Q122" s="8" t="s">
        <v>296</v>
      </c>
    </row>
    <row r="123" spans="1:17" x14ac:dyDescent="0.25">
      <c r="A123" s="4" t="s">
        <v>149</v>
      </c>
      <c r="B123" s="6" t="s">
        <v>1722</v>
      </c>
      <c r="C123" s="6" t="s">
        <v>924</v>
      </c>
      <c r="D123" s="6" t="s">
        <v>256</v>
      </c>
      <c r="E123" s="5">
        <v>44137</v>
      </c>
      <c r="F123" s="6">
        <v>65</v>
      </c>
      <c r="G123" s="6">
        <v>1</v>
      </c>
      <c r="H123" s="6">
        <v>76</v>
      </c>
      <c r="I123" s="6">
        <v>4</v>
      </c>
      <c r="J123" s="6" t="s">
        <v>1189</v>
      </c>
      <c r="K123" s="6" t="s">
        <v>1349</v>
      </c>
      <c r="L123" s="6" t="s">
        <v>739</v>
      </c>
      <c r="M123" s="7" t="str">
        <f>HYPERLINK("http://ovidsp.ovid.com/ovidweb.cgi?T=JS&amp;NEWS=n&amp;CSC=Y&amp;PAGE=toc&amp;D=yrovft&amp;AN=00005344-000000000-00000","http://ovidsp.ovid.com/ovidweb.cgi?T=JS&amp;NEWS=n&amp;CSC=Y&amp;PAGE=toc&amp;D=yrovft&amp;AN=00005344-000000000-00000")</f>
        <v>http://ovidsp.ovid.com/ovidweb.cgi?T=JS&amp;NEWS=n&amp;CSC=Y&amp;PAGE=toc&amp;D=yrovft&amp;AN=00005344-000000000-00000</v>
      </c>
      <c r="N123" s="6" t="s">
        <v>1117</v>
      </c>
      <c r="O123" s="6" t="s">
        <v>1670</v>
      </c>
      <c r="P123" s="6" t="b">
        <v>1</v>
      </c>
      <c r="Q123" s="8" t="s">
        <v>1026</v>
      </c>
    </row>
    <row r="124" spans="1:17" x14ac:dyDescent="0.25">
      <c r="A124" s="4" t="s">
        <v>675</v>
      </c>
      <c r="B124" s="6" t="s">
        <v>1185</v>
      </c>
      <c r="C124" s="6" t="s">
        <v>685</v>
      </c>
      <c r="D124" s="6" t="s">
        <v>256</v>
      </c>
      <c r="E124" s="5">
        <v>44137</v>
      </c>
      <c r="F124" s="6">
        <v>41</v>
      </c>
      <c r="G124" s="6">
        <v>1</v>
      </c>
      <c r="H124" s="6">
        <v>46</v>
      </c>
      <c r="I124" s="6">
        <v>10</v>
      </c>
      <c r="J124" s="6" t="s">
        <v>1189</v>
      </c>
      <c r="K124" s="6" t="s">
        <v>1349</v>
      </c>
      <c r="L124" s="6" t="s">
        <v>739</v>
      </c>
      <c r="M124" s="7" t="str">
        <f>HYPERLINK("http://ovidsp.ovid.com/ovidweb.cgi?T=JS&amp;NEWS=n&amp;CSC=Y&amp;PAGE=toc&amp;D=yrovft&amp;AN=02158034-000000000-00000","http://ovidsp.ovid.com/ovidweb.cgi?T=JS&amp;NEWS=n&amp;CSC=Y&amp;PAGE=toc&amp;D=yrovft&amp;AN=02158034-000000000-00000")</f>
        <v>http://ovidsp.ovid.com/ovidweb.cgi?T=JS&amp;NEWS=n&amp;CSC=Y&amp;PAGE=toc&amp;D=yrovft&amp;AN=02158034-000000000-00000</v>
      </c>
      <c r="N124" s="6" t="s">
        <v>1117</v>
      </c>
      <c r="O124" s="6" t="s">
        <v>1369</v>
      </c>
      <c r="P124" s="6" t="b">
        <v>1</v>
      </c>
      <c r="Q124" s="8" t="s">
        <v>1534</v>
      </c>
    </row>
    <row r="125" spans="1:17" x14ac:dyDescent="0.25">
      <c r="A125" s="4" t="s">
        <v>657</v>
      </c>
      <c r="B125" s="6" t="s">
        <v>326</v>
      </c>
      <c r="C125" s="6" t="s">
        <v>326</v>
      </c>
      <c r="D125" s="6" t="s">
        <v>256</v>
      </c>
      <c r="E125" s="5">
        <v>44137</v>
      </c>
      <c r="F125" s="6">
        <v>1</v>
      </c>
      <c r="G125" s="6">
        <v>1</v>
      </c>
      <c r="H125" s="6">
        <v>9</v>
      </c>
      <c r="I125" s="6">
        <v>1</v>
      </c>
      <c r="J125" s="6" t="s">
        <v>1585</v>
      </c>
      <c r="K125" s="6" t="s">
        <v>1389</v>
      </c>
      <c r="L125" s="6" t="s">
        <v>603</v>
      </c>
      <c r="M125" s="7" t="str">
        <f>HYPERLINK("http://ovidsp.ovid.com/ovidweb.cgi?T=JS&amp;NEWS=n&amp;CSC=Y&amp;PAGE=toc&amp;D=yrovft&amp;AN=02158035-000000000-00000","http://ovidsp.ovid.com/ovidweb.cgi?T=JS&amp;NEWS=n&amp;CSC=Y&amp;PAGE=toc&amp;D=yrovft&amp;AN=02158035-000000000-00000")</f>
        <v>http://ovidsp.ovid.com/ovidweb.cgi?T=JS&amp;NEWS=n&amp;CSC=Y&amp;PAGE=toc&amp;D=yrovft&amp;AN=02158035-000000000-00000</v>
      </c>
      <c r="N125" s="6" t="s">
        <v>1117</v>
      </c>
      <c r="O125" s="6" t="s">
        <v>1667</v>
      </c>
      <c r="P125" s="6" t="b">
        <v>0</v>
      </c>
      <c r="Q125" s="8" t="s">
        <v>1117</v>
      </c>
    </row>
    <row r="126" spans="1:17" x14ac:dyDescent="0.25">
      <c r="A126" s="4" t="s">
        <v>788</v>
      </c>
      <c r="B126" s="6" t="s">
        <v>1586</v>
      </c>
      <c r="C126" s="6" t="s">
        <v>868</v>
      </c>
      <c r="D126" s="6" t="s">
        <v>256</v>
      </c>
      <c r="E126" s="5">
        <v>44137</v>
      </c>
      <c r="F126" s="6">
        <v>40</v>
      </c>
      <c r="G126" s="6">
        <v>1</v>
      </c>
      <c r="H126" s="6">
        <v>45</v>
      </c>
      <c r="I126" s="6">
        <v>4</v>
      </c>
      <c r="J126" s="6" t="s">
        <v>486</v>
      </c>
      <c r="K126" s="6" t="s">
        <v>1671</v>
      </c>
      <c r="L126" s="6" t="s">
        <v>206</v>
      </c>
      <c r="M126" s="7" t="str">
        <f>HYPERLINK("http://ovidsp.ovid.com/ovidweb.cgi?T=JS&amp;NEWS=n&amp;CSC=Y&amp;PAGE=toc&amp;D=yrovft&amp;AN=00004669-000000000-00000","http://ovidsp.ovid.com/ovidweb.cgi?T=JS&amp;NEWS=n&amp;CSC=Y&amp;PAGE=toc&amp;D=yrovft&amp;AN=00004669-000000000-00000")</f>
        <v>http://ovidsp.ovid.com/ovidweb.cgi?T=JS&amp;NEWS=n&amp;CSC=Y&amp;PAGE=toc&amp;D=yrovft&amp;AN=00004669-000000000-00000</v>
      </c>
      <c r="N126" s="6" t="s">
        <v>1117</v>
      </c>
      <c r="O126" s="6" t="s">
        <v>1069</v>
      </c>
      <c r="P126" s="6" t="b">
        <v>0</v>
      </c>
      <c r="Q126" s="8" t="s">
        <v>1117</v>
      </c>
    </row>
    <row r="127" spans="1:17" x14ac:dyDescent="0.25">
      <c r="A127" s="4" t="s">
        <v>736</v>
      </c>
      <c r="B127" s="6" t="s">
        <v>983</v>
      </c>
      <c r="C127" s="6" t="s">
        <v>918</v>
      </c>
      <c r="D127" s="6" t="s">
        <v>256</v>
      </c>
      <c r="E127" s="5">
        <v>44137</v>
      </c>
      <c r="F127" s="6">
        <v>49</v>
      </c>
      <c r="G127" s="6">
        <v>1</v>
      </c>
      <c r="H127" s="6">
        <v>54</v>
      </c>
      <c r="I127" s="6">
        <v>10</v>
      </c>
      <c r="J127" s="6" t="s">
        <v>1387</v>
      </c>
      <c r="K127" s="6" t="s">
        <v>1349</v>
      </c>
      <c r="L127" s="6" t="s">
        <v>270</v>
      </c>
      <c r="M127" s="7" t="str">
        <f>HYPERLINK("http://ovidsp.ovid.com/ovidweb.cgi?T=JS&amp;NEWS=n&amp;CSC=Y&amp;PAGE=toc&amp;D=yrovft&amp;AN=00004836-000000000-00000","http://ovidsp.ovid.com/ovidweb.cgi?T=JS&amp;NEWS=n&amp;CSC=Y&amp;PAGE=toc&amp;D=yrovft&amp;AN=00004836-000000000-00000")</f>
        <v>http://ovidsp.ovid.com/ovidweb.cgi?T=JS&amp;NEWS=n&amp;CSC=Y&amp;PAGE=toc&amp;D=yrovft&amp;AN=00004836-000000000-00000</v>
      </c>
      <c r="N127" s="6" t="s">
        <v>1117</v>
      </c>
      <c r="O127" s="6" t="s">
        <v>1084</v>
      </c>
      <c r="P127" s="6" t="b">
        <v>1</v>
      </c>
      <c r="Q127" s="8" t="s">
        <v>1221</v>
      </c>
    </row>
    <row r="128" spans="1:17" x14ac:dyDescent="0.25">
      <c r="A128" s="4" t="s">
        <v>370</v>
      </c>
      <c r="B128" s="6" t="s">
        <v>399</v>
      </c>
      <c r="C128" s="6" t="s">
        <v>1531</v>
      </c>
      <c r="D128" s="6" t="s">
        <v>256</v>
      </c>
      <c r="E128" s="5">
        <v>44137</v>
      </c>
      <c r="F128" s="6">
        <v>16</v>
      </c>
      <c r="G128" s="6">
        <v>3</v>
      </c>
      <c r="H128" s="6">
        <v>22</v>
      </c>
      <c r="I128" s="6">
        <v>1</v>
      </c>
      <c r="J128" s="6" t="s">
        <v>1231</v>
      </c>
      <c r="K128" s="6" t="s">
        <v>365</v>
      </c>
      <c r="L128" s="6" t="s">
        <v>553</v>
      </c>
      <c r="M128" s="7" t="str">
        <f>HYPERLINK("http://ovidsp.ovid.com/ovidweb.cgi?T=JS&amp;NEWS=n&amp;CSC=Y&amp;PAGE=toc&amp;D=yrovft&amp;AN=00131402-000000000-00000","http://ovidsp.ovid.com/ovidweb.cgi?T=JS&amp;NEWS=n&amp;CSC=Y&amp;PAGE=toc&amp;D=yrovft&amp;AN=00131402-000000000-00000")</f>
        <v>http://ovidsp.ovid.com/ovidweb.cgi?T=JS&amp;NEWS=n&amp;CSC=Y&amp;PAGE=toc&amp;D=yrovft&amp;AN=00131402-000000000-00000</v>
      </c>
      <c r="N128" s="6" t="s">
        <v>1117</v>
      </c>
      <c r="O128" s="6" t="s">
        <v>908</v>
      </c>
      <c r="P128" s="6" t="b">
        <v>0</v>
      </c>
      <c r="Q128" s="8" t="s">
        <v>1117</v>
      </c>
    </row>
    <row r="129" spans="1:17" x14ac:dyDescent="0.25">
      <c r="A129" s="4" t="s">
        <v>1491</v>
      </c>
      <c r="B129" s="6" t="s">
        <v>130</v>
      </c>
      <c r="C129" s="6" t="s">
        <v>164</v>
      </c>
      <c r="D129" s="6" t="s">
        <v>256</v>
      </c>
      <c r="E129" s="5">
        <v>44137</v>
      </c>
      <c r="F129" s="6">
        <v>35</v>
      </c>
      <c r="G129" s="6">
        <v>1</v>
      </c>
      <c r="H129" s="6">
        <v>40</v>
      </c>
      <c r="I129" s="6">
        <v>5</v>
      </c>
      <c r="J129" s="6" t="s">
        <v>691</v>
      </c>
      <c r="K129" s="6" t="s">
        <v>210</v>
      </c>
      <c r="L129" s="6" t="s">
        <v>452</v>
      </c>
      <c r="M129" s="7" t="str">
        <f>HYPERLINK("http://ovidsp.ovid.com/ovidweb.cgi?T=JS&amp;NEWS=n&amp;CSC=Y&amp;PAGE=toc&amp;D=yrovft&amp;AN=00004714-000000000-00000","http://ovidsp.ovid.com/ovidweb.cgi?T=JS&amp;NEWS=n&amp;CSC=Y&amp;PAGE=toc&amp;D=yrovft&amp;AN=00004714-000000000-00000")</f>
        <v>http://ovidsp.ovid.com/ovidweb.cgi?T=JS&amp;NEWS=n&amp;CSC=Y&amp;PAGE=toc&amp;D=yrovft&amp;AN=00004714-000000000-00000</v>
      </c>
      <c r="N129" s="6" t="s">
        <v>1117</v>
      </c>
      <c r="O129" s="6" t="s">
        <v>1432</v>
      </c>
      <c r="P129" s="6" t="b">
        <v>1</v>
      </c>
      <c r="Q129" s="8" t="s">
        <v>536</v>
      </c>
    </row>
    <row r="130" spans="1:17" x14ac:dyDescent="0.25">
      <c r="A130" s="4" t="s">
        <v>509</v>
      </c>
      <c r="B130" s="6" t="s">
        <v>1728</v>
      </c>
      <c r="C130" s="6" t="s">
        <v>499</v>
      </c>
      <c r="D130" s="6" t="s">
        <v>256</v>
      </c>
      <c r="E130" s="5">
        <v>44137</v>
      </c>
      <c r="F130" s="6">
        <v>39</v>
      </c>
      <c r="G130" s="6">
        <v>1</v>
      </c>
      <c r="H130" s="6">
        <v>44</v>
      </c>
      <c r="I130" s="6">
        <v>5</v>
      </c>
      <c r="J130" s="6" t="s">
        <v>1616</v>
      </c>
      <c r="K130" s="6" t="s">
        <v>1528</v>
      </c>
      <c r="L130" s="6" t="s">
        <v>452</v>
      </c>
      <c r="M130" s="7" t="str">
        <f>HYPERLINK("http://ovidsp.ovid.com/ovidweb.cgi?T=JS&amp;NEWS=n&amp;CSC=Y&amp;PAGE=toc&amp;D=yrovft&amp;AN=00004728-000000000-00000","http://ovidsp.ovid.com/ovidweb.cgi?T=JS&amp;NEWS=n&amp;CSC=Y&amp;PAGE=toc&amp;D=yrovft&amp;AN=00004728-000000000-00000")</f>
        <v>http://ovidsp.ovid.com/ovidweb.cgi?T=JS&amp;NEWS=n&amp;CSC=Y&amp;PAGE=toc&amp;D=yrovft&amp;AN=00004728-000000000-00000</v>
      </c>
      <c r="N130" s="6" t="s">
        <v>1117</v>
      </c>
      <c r="O130" s="6" t="s">
        <v>1131</v>
      </c>
      <c r="P130" s="6" t="b">
        <v>1</v>
      </c>
      <c r="Q130" s="8" t="s">
        <v>1406</v>
      </c>
    </row>
    <row r="131" spans="1:17" x14ac:dyDescent="0.25">
      <c r="A131" s="4" t="s">
        <v>405</v>
      </c>
      <c r="B131" s="6" t="s">
        <v>562</v>
      </c>
      <c r="C131" s="6" t="s">
        <v>1286</v>
      </c>
      <c r="D131" s="6" t="s">
        <v>256</v>
      </c>
      <c r="E131" s="5">
        <v>44137</v>
      </c>
      <c r="F131" s="6">
        <v>31</v>
      </c>
      <c r="G131" s="6">
        <v>1</v>
      </c>
      <c r="H131" s="6">
        <v>36</v>
      </c>
      <c r="I131" s="6">
        <v>3</v>
      </c>
      <c r="J131" s="6" t="s">
        <v>1231</v>
      </c>
      <c r="K131" s="6" t="s">
        <v>365</v>
      </c>
      <c r="L131" s="6" t="s">
        <v>553</v>
      </c>
      <c r="M131" s="7" t="str">
        <f>HYPERLINK("http://ovidsp.ovid.com/ovidweb.cgi?T=JS&amp;NEWS=n&amp;CSC=Y&amp;PAGE=toc&amp;D=yrovft&amp;AN=00124509-000000000-00000","http://ovidsp.ovid.com/ovidweb.cgi?T=JS&amp;NEWS=n&amp;CSC=Y&amp;PAGE=toc&amp;D=yrovft&amp;AN=00124509-000000000-00000")</f>
        <v>http://ovidsp.ovid.com/ovidweb.cgi?T=JS&amp;NEWS=n&amp;CSC=Y&amp;PAGE=toc&amp;D=yrovft&amp;AN=00124509-000000000-00000</v>
      </c>
      <c r="N131" s="6" t="s">
        <v>1117</v>
      </c>
      <c r="O131" s="6" t="s">
        <v>1133</v>
      </c>
      <c r="P131" s="6" t="b">
        <v>1</v>
      </c>
      <c r="Q131" s="8" t="s">
        <v>1316</v>
      </c>
    </row>
    <row r="132" spans="1:17" x14ac:dyDescent="0.25">
      <c r="A132" s="4" t="s">
        <v>510</v>
      </c>
      <c r="B132" s="6" t="s">
        <v>1096</v>
      </c>
      <c r="C132" s="6" t="s">
        <v>1692</v>
      </c>
      <c r="D132" s="6" t="s">
        <v>256</v>
      </c>
      <c r="E132" s="5">
        <v>44137</v>
      </c>
      <c r="F132" s="6">
        <v>24</v>
      </c>
      <c r="G132" s="6">
        <v>2</v>
      </c>
      <c r="H132" s="6">
        <v>29</v>
      </c>
      <c r="I132" s="6">
        <v>10</v>
      </c>
      <c r="J132" s="6" t="s">
        <v>1686</v>
      </c>
      <c r="K132" s="6" t="s">
        <v>210</v>
      </c>
      <c r="L132" s="6" t="s">
        <v>739</v>
      </c>
      <c r="M132" s="7" t="str">
        <f>HYPERLINK("http://ovidsp.ovid.com/ovidweb.cgi?T=JS&amp;NEWS=n&amp;CSC=Y&amp;PAGE=toc&amp;D=yrovft&amp;AN=00061198-000000000-00000","http://ovidsp.ovid.com/ovidweb.cgi?T=JS&amp;NEWS=n&amp;CSC=Y&amp;PAGE=toc&amp;D=yrovft&amp;AN=00061198-000000000-00000")</f>
        <v>http://ovidsp.ovid.com/ovidweb.cgi?T=JS&amp;NEWS=n&amp;CSC=Y&amp;PAGE=toc&amp;D=yrovft&amp;AN=00061198-000000000-00000</v>
      </c>
      <c r="N132" s="6" t="s">
        <v>1117</v>
      </c>
      <c r="O132" s="6" t="s">
        <v>728</v>
      </c>
      <c r="P132" s="6" t="b">
        <v>1</v>
      </c>
      <c r="Q132" s="8" t="s">
        <v>757</v>
      </c>
    </row>
    <row r="133" spans="1:17" x14ac:dyDescent="0.25">
      <c r="A133" s="4" t="s">
        <v>1016</v>
      </c>
      <c r="B133" s="6" t="s">
        <v>649</v>
      </c>
      <c r="C133" s="6" t="s">
        <v>1593</v>
      </c>
      <c r="D133" s="6" t="s">
        <v>256</v>
      </c>
      <c r="E133" s="5">
        <v>44137</v>
      </c>
      <c r="F133" s="6">
        <v>30</v>
      </c>
      <c r="G133" s="6">
        <v>1</v>
      </c>
      <c r="H133" s="6">
        <v>35</v>
      </c>
      <c r="I133" s="6">
        <v>5</v>
      </c>
      <c r="J133" s="6" t="s">
        <v>1616</v>
      </c>
      <c r="K133" s="6" t="s">
        <v>1528</v>
      </c>
      <c r="L133" s="6" t="s">
        <v>452</v>
      </c>
      <c r="M133" s="7" t="str">
        <f>HYPERLINK("http://ovidsp.ovid.com/ovidweb.cgi?T=JS&amp;NEWS=n&amp;CSC=Y&amp;PAGE=toc&amp;D=yrovft&amp;AN=00001199-000000000-00000","http://ovidsp.ovid.com/ovidweb.cgi?T=JS&amp;NEWS=n&amp;CSC=Y&amp;PAGE=toc&amp;D=yrovft&amp;AN=00001199-000000000-00000")</f>
        <v>http://ovidsp.ovid.com/ovidweb.cgi?T=JS&amp;NEWS=n&amp;CSC=Y&amp;PAGE=toc&amp;D=yrovft&amp;AN=00001199-000000000-00000</v>
      </c>
      <c r="N133" s="6" t="s">
        <v>1117</v>
      </c>
      <c r="O133" s="6" t="s">
        <v>178</v>
      </c>
      <c r="P133" s="6" t="b">
        <v>1</v>
      </c>
      <c r="Q133" s="8" t="s">
        <v>1163</v>
      </c>
    </row>
    <row r="134" spans="1:17" x14ac:dyDescent="0.25">
      <c r="A134" s="4" t="s">
        <v>1454</v>
      </c>
      <c r="B134" s="6" t="s">
        <v>67</v>
      </c>
      <c r="C134" s="6" t="s">
        <v>289</v>
      </c>
      <c r="D134" s="6" t="s">
        <v>256</v>
      </c>
      <c r="E134" s="5">
        <v>44137</v>
      </c>
      <c r="F134" s="6">
        <v>33</v>
      </c>
      <c r="G134" s="6">
        <v>3</v>
      </c>
      <c r="H134" s="6">
        <v>38</v>
      </c>
      <c r="I134" s="6">
        <v>11</v>
      </c>
      <c r="J134" s="6" t="s">
        <v>458</v>
      </c>
      <c r="K134" s="6" t="s">
        <v>365</v>
      </c>
      <c r="L134" s="6" t="s">
        <v>1046</v>
      </c>
      <c r="M134" s="7" t="str">
        <f>HYPERLINK("http://ovidsp.ovid.com/ovidweb.cgi?T=JS&amp;NEWS=n&amp;CSC=Y&amp;PAGE=toc&amp;D=yrovft&amp;AN=00004872-000000000-00000","http://ovidsp.ovid.com/ovidweb.cgi?T=JS&amp;NEWS=n&amp;CSC=Y&amp;PAGE=toc&amp;D=yrovft&amp;AN=00004872-000000000-00000")</f>
        <v>http://ovidsp.ovid.com/ovidweb.cgi?T=JS&amp;NEWS=n&amp;CSC=Y&amp;PAGE=toc&amp;D=yrovft&amp;AN=00004872-000000000-00000</v>
      </c>
      <c r="N134" s="6" t="s">
        <v>1117</v>
      </c>
      <c r="O134" s="6" t="s">
        <v>136</v>
      </c>
      <c r="P134" s="6" t="b">
        <v>1</v>
      </c>
      <c r="Q134" s="8" t="s">
        <v>880</v>
      </c>
    </row>
    <row r="135" spans="1:17" x14ac:dyDescent="0.25">
      <c r="A135" s="4" t="s">
        <v>1734</v>
      </c>
      <c r="B135" s="6" t="s">
        <v>1164</v>
      </c>
      <c r="C135" s="6" t="s">
        <v>438</v>
      </c>
      <c r="D135" s="6" t="s">
        <v>256</v>
      </c>
      <c r="E135" s="5">
        <v>44137</v>
      </c>
      <c r="F135" s="6">
        <v>38</v>
      </c>
      <c r="G135" s="6">
        <v>1</v>
      </c>
      <c r="H135" s="6">
        <v>43</v>
      </c>
      <c r="I135" s="6">
        <v>9</v>
      </c>
      <c r="J135" s="6" t="s">
        <v>1387</v>
      </c>
      <c r="K135" s="6" t="s">
        <v>1349</v>
      </c>
      <c r="L135" s="6" t="s">
        <v>270</v>
      </c>
      <c r="M135" s="7" t="str">
        <f>HYPERLINK("http://ovidsp.ovid.com/ovidweb.cgi?T=JS&amp;NEWS=n&amp;CSC=Y&amp;PAGE=toc&amp;D=yrovft&amp;AN=00002371-000000000-00000","http://ovidsp.ovid.com/ovidweb.cgi?T=JS&amp;NEWS=n&amp;CSC=Y&amp;PAGE=toc&amp;D=yrovft&amp;AN=00002371-000000000-00000")</f>
        <v>http://ovidsp.ovid.com/ovidweb.cgi?T=JS&amp;NEWS=n&amp;CSC=Y&amp;PAGE=toc&amp;D=yrovft&amp;AN=00002371-000000000-00000</v>
      </c>
      <c r="N135" s="6" t="s">
        <v>1117</v>
      </c>
      <c r="O135" s="6" t="s">
        <v>583</v>
      </c>
      <c r="P135" s="6" t="b">
        <v>0</v>
      </c>
      <c r="Q135" s="8" t="s">
        <v>1117</v>
      </c>
    </row>
    <row r="136" spans="1:17" x14ac:dyDescent="0.25">
      <c r="A136" s="4" t="s">
        <v>836</v>
      </c>
      <c r="B136" s="6" t="s">
        <v>337</v>
      </c>
      <c r="C136" s="6" t="s">
        <v>400</v>
      </c>
      <c r="D136" s="6" t="s">
        <v>256</v>
      </c>
      <c r="E136" s="5">
        <v>44137</v>
      </c>
      <c r="F136" s="6">
        <v>203</v>
      </c>
      <c r="G136" s="6">
        <v>1</v>
      </c>
      <c r="H136" s="6">
        <v>208</v>
      </c>
      <c r="I136" s="6">
        <v>10</v>
      </c>
      <c r="J136" s="6" t="s">
        <v>1189</v>
      </c>
      <c r="K136" s="6" t="s">
        <v>1349</v>
      </c>
      <c r="L136" s="6" t="s">
        <v>739</v>
      </c>
      <c r="M136" s="7" t="str">
        <f>HYPERLINK("http://ovidsp.ovid.com/ovidweb.cgi?T=JS&amp;NEWS=n&amp;CSC=Y&amp;PAGE=toc&amp;D=yrovft&amp;AN=00005053-000000000-00000","http://ovidsp.ovid.com/ovidweb.cgi?T=JS&amp;NEWS=n&amp;CSC=Y&amp;PAGE=toc&amp;D=yrovft&amp;AN=00005053-000000000-00000")</f>
        <v>http://ovidsp.ovid.com/ovidweb.cgi?T=JS&amp;NEWS=n&amp;CSC=Y&amp;PAGE=toc&amp;D=yrovft&amp;AN=00005053-000000000-00000</v>
      </c>
      <c r="N136" s="6" t="s">
        <v>1117</v>
      </c>
      <c r="O136" s="6" t="s">
        <v>660</v>
      </c>
      <c r="P136" s="6" t="b">
        <v>1</v>
      </c>
      <c r="Q136" s="8" t="s">
        <v>1010</v>
      </c>
    </row>
    <row r="137" spans="1:17" x14ac:dyDescent="0.25">
      <c r="A137" s="4" t="s">
        <v>989</v>
      </c>
      <c r="B137" s="6" t="s">
        <v>966</v>
      </c>
      <c r="C137" s="6" t="s">
        <v>389</v>
      </c>
      <c r="D137" s="6" t="s">
        <v>256</v>
      </c>
      <c r="E137" s="5">
        <v>44137</v>
      </c>
      <c r="F137" s="6">
        <v>27</v>
      </c>
      <c r="G137" s="6">
        <v>1</v>
      </c>
      <c r="H137" s="6">
        <v>32</v>
      </c>
      <c r="I137" s="6">
        <v>4</v>
      </c>
      <c r="J137" s="6" t="s">
        <v>1189</v>
      </c>
      <c r="K137" s="6" t="s">
        <v>1349</v>
      </c>
      <c r="L137" s="6" t="s">
        <v>739</v>
      </c>
      <c r="M137" s="7" t="str">
        <f>HYPERLINK("http://ovidsp.ovid.com/ovidweb.cgi?T=JS&amp;NEWS=n&amp;CSC=Y&amp;PAGE=toc&amp;D=yrovft&amp;AN=00008506-000000000-00000","http://ovidsp.ovid.com/ovidweb.cgi?T=JS&amp;NEWS=n&amp;CSC=Y&amp;PAGE=toc&amp;D=yrovft&amp;AN=00008506-000000000-00000")</f>
        <v>http://ovidsp.ovid.com/ovidweb.cgi?T=JS&amp;NEWS=n&amp;CSC=Y&amp;PAGE=toc&amp;D=yrovft&amp;AN=00008506-000000000-00000</v>
      </c>
      <c r="N137" s="6" t="s">
        <v>1117</v>
      </c>
      <c r="O137" s="6" t="s">
        <v>1234</v>
      </c>
      <c r="P137" s="6" t="b">
        <v>1</v>
      </c>
      <c r="Q137" s="8" t="s">
        <v>1098</v>
      </c>
    </row>
    <row r="138" spans="1:17" x14ac:dyDescent="0.25">
      <c r="A138" s="4" t="s">
        <v>1676</v>
      </c>
      <c r="B138" s="6" t="s">
        <v>719</v>
      </c>
      <c r="C138" s="6" t="s">
        <v>490</v>
      </c>
      <c r="D138" s="6" t="s">
        <v>256</v>
      </c>
      <c r="E138" s="5">
        <v>44137</v>
      </c>
      <c r="F138" s="6">
        <v>45</v>
      </c>
      <c r="G138" s="6">
        <v>1</v>
      </c>
      <c r="H138" s="6">
        <v>50</v>
      </c>
      <c r="I138" s="6">
        <v>10</v>
      </c>
      <c r="J138" s="6" t="s">
        <v>1189</v>
      </c>
      <c r="K138" s="6" t="s">
        <v>1349</v>
      </c>
      <c r="L138" s="6" t="s">
        <v>739</v>
      </c>
      <c r="M138" s="7" t="str">
        <f>HYPERLINK("http://ovidsp.ovid.com/ovidweb.cgi?T=JS&amp;NEWS=n&amp;CSC=Y&amp;PAGE=toc&amp;D=yrovft&amp;AN=00005110-000000000-00000","http://ovidsp.ovid.com/ovidweb.cgi?T=JS&amp;NEWS=n&amp;CSC=Y&amp;PAGE=toc&amp;D=yrovft&amp;AN=00005110-000000000-00000")</f>
        <v>http://ovidsp.ovid.com/ovidweb.cgi?T=JS&amp;NEWS=n&amp;CSC=Y&amp;PAGE=toc&amp;D=yrovft&amp;AN=00005110-000000000-00000</v>
      </c>
      <c r="N138" s="6" t="s">
        <v>1117</v>
      </c>
      <c r="O138" s="6" t="s">
        <v>1431</v>
      </c>
      <c r="P138" s="6" t="b">
        <v>0</v>
      </c>
      <c r="Q138" s="8" t="s">
        <v>1117</v>
      </c>
    </row>
    <row r="139" spans="1:17" x14ac:dyDescent="0.25">
      <c r="A139" s="4" t="s">
        <v>447</v>
      </c>
      <c r="B139" s="6" t="s">
        <v>527</v>
      </c>
      <c r="C139" s="6" t="s">
        <v>779</v>
      </c>
      <c r="D139" s="6" t="s">
        <v>256</v>
      </c>
      <c r="E139" s="5">
        <v>44137</v>
      </c>
      <c r="F139" s="6">
        <v>30</v>
      </c>
      <c r="G139" s="6">
        <v>1</v>
      </c>
      <c r="H139" s="6">
        <v>35</v>
      </c>
      <c r="I139" s="6">
        <v>4</v>
      </c>
      <c r="J139" s="6" t="s">
        <v>486</v>
      </c>
      <c r="K139" s="6" t="s">
        <v>1671</v>
      </c>
      <c r="L139" s="6" t="s">
        <v>206</v>
      </c>
      <c r="M139" s="7" t="str">
        <f>HYPERLINK("http://ovidsp.ovid.com/ovidweb.cgi?T=JS&amp;NEWS=n&amp;CSC=Y&amp;PAGE=toc&amp;D=yrovft&amp;AN=00001786-000000000-00000","http://ovidsp.ovid.com/ovidweb.cgi?T=JS&amp;NEWS=n&amp;CSC=Y&amp;PAGE=toc&amp;D=yrovft&amp;AN=00001786-000000000-00000")</f>
        <v>http://ovidsp.ovid.com/ovidweb.cgi?T=JS&amp;NEWS=n&amp;CSC=Y&amp;PAGE=toc&amp;D=yrovft&amp;AN=00001786-000000000-00000</v>
      </c>
      <c r="N139" s="6" t="s">
        <v>1117</v>
      </c>
      <c r="O139" s="6" t="s">
        <v>1329</v>
      </c>
      <c r="P139" s="6" t="b">
        <v>0</v>
      </c>
      <c r="Q139" s="8" t="s">
        <v>1117</v>
      </c>
    </row>
    <row r="140" spans="1:17" x14ac:dyDescent="0.25">
      <c r="A140" s="4" t="s">
        <v>756</v>
      </c>
      <c r="B140" s="6" t="s">
        <v>586</v>
      </c>
      <c r="C140" s="6" t="s">
        <v>103</v>
      </c>
      <c r="D140" s="6" t="s">
        <v>256</v>
      </c>
      <c r="E140" s="5">
        <v>44137</v>
      </c>
      <c r="F140" s="6">
        <v>29</v>
      </c>
      <c r="G140" s="6">
        <v>2</v>
      </c>
      <c r="H140" s="6">
        <v>34</v>
      </c>
      <c r="I140" s="6">
        <v>0</v>
      </c>
      <c r="J140" s="6" t="s">
        <v>119</v>
      </c>
      <c r="K140" s="6" t="s">
        <v>210</v>
      </c>
      <c r="L140" s="6" t="s">
        <v>1046</v>
      </c>
      <c r="M140" s="7" t="str">
        <f>HYPERLINK("http://ovidsp.ovid.com/ovidweb.cgi?T=JS&amp;NEWS=n&amp;CSC=Y&amp;PAGE=toc&amp;D=yrovft&amp;AN=00005131-000000000-00000","http://ovidsp.ovid.com/ovidweb.cgi?T=JS&amp;NEWS=n&amp;CSC=Y&amp;PAGE=toc&amp;D=yrovft&amp;AN=00005131-000000000-00000")</f>
        <v>http://ovidsp.ovid.com/ovidweb.cgi?T=JS&amp;NEWS=n&amp;CSC=Y&amp;PAGE=toc&amp;D=yrovft&amp;AN=00005131-000000000-00000</v>
      </c>
      <c r="N140" s="6" t="s">
        <v>1117</v>
      </c>
      <c r="O140" s="6" t="s">
        <v>1571</v>
      </c>
      <c r="P140" s="6" t="b">
        <v>1</v>
      </c>
      <c r="Q140" s="8" t="s">
        <v>364</v>
      </c>
    </row>
    <row r="141" spans="1:17" x14ac:dyDescent="0.25">
      <c r="A141" s="4" t="s">
        <v>1284</v>
      </c>
      <c r="B141" s="6" t="s">
        <v>454</v>
      </c>
      <c r="C141" s="6" t="s">
        <v>1117</v>
      </c>
      <c r="D141" s="6" t="s">
        <v>256</v>
      </c>
      <c r="E141" s="5">
        <v>44137</v>
      </c>
      <c r="F141" s="6">
        <v>11</v>
      </c>
      <c r="G141" s="6">
        <v>1</v>
      </c>
      <c r="H141" s="6">
        <v>16</v>
      </c>
      <c r="I141" s="6">
        <v>3</v>
      </c>
      <c r="J141" s="6" t="s">
        <v>1231</v>
      </c>
      <c r="K141" s="6" t="s">
        <v>365</v>
      </c>
      <c r="L141" s="6" t="s">
        <v>553</v>
      </c>
      <c r="M141" s="7" t="str">
        <f>HYPERLINK("http://ovidsp.ovid.com/ovidweb.cgi?T=JS&amp;NEWS=n&amp;CSC=Y&amp;PAGE=toc&amp;D=yrovft&amp;AN=01209203-000000000-00000","http://ovidsp.ovid.com/ovidweb.cgi?T=JS&amp;NEWS=n&amp;CSC=Y&amp;PAGE=toc&amp;D=yrovft&amp;AN=01209203-000000000-00000")</f>
        <v>http://ovidsp.ovid.com/ovidweb.cgi?T=JS&amp;NEWS=n&amp;CSC=Y&amp;PAGE=toc&amp;D=yrovft&amp;AN=01209203-000000000-00000</v>
      </c>
      <c r="N141" s="6" t="s">
        <v>1117</v>
      </c>
      <c r="O141" s="6" t="s">
        <v>730</v>
      </c>
      <c r="P141" s="6" t="b">
        <v>1</v>
      </c>
      <c r="Q141" s="8" t="s">
        <v>692</v>
      </c>
    </row>
    <row r="142" spans="1:17" x14ac:dyDescent="0.25">
      <c r="A142" s="4" t="s">
        <v>1544</v>
      </c>
      <c r="B142" s="6" t="s">
        <v>843</v>
      </c>
      <c r="C142" s="6" t="s">
        <v>1522</v>
      </c>
      <c r="D142" s="6" t="s">
        <v>256</v>
      </c>
      <c r="E142" s="5">
        <v>44137</v>
      </c>
      <c r="F142" s="6">
        <v>60</v>
      </c>
      <c r="G142" s="6">
        <v>1</v>
      </c>
      <c r="H142" s="6">
        <v>71</v>
      </c>
      <c r="I142" s="6">
        <v>0</v>
      </c>
      <c r="J142" s="6" t="s">
        <v>565</v>
      </c>
      <c r="K142" s="6" t="s">
        <v>1349</v>
      </c>
      <c r="L142" s="6" t="s">
        <v>1046</v>
      </c>
      <c r="M142" s="7" t="str">
        <f>HYPERLINK("http://ovidsp.ovid.com/ovidweb.cgi?T=JS&amp;NEWS=n&amp;CSC=Y&amp;PAGE=toc&amp;D=yrovft&amp;AN=00005176-000000000-00000","http://ovidsp.ovid.com/ovidweb.cgi?T=JS&amp;NEWS=n&amp;CSC=Y&amp;PAGE=toc&amp;D=yrovft&amp;AN=00005176-000000000-00000")</f>
        <v>http://ovidsp.ovid.com/ovidweb.cgi?T=JS&amp;NEWS=n&amp;CSC=Y&amp;PAGE=toc&amp;D=yrovft&amp;AN=00005176-000000000-00000</v>
      </c>
      <c r="N142" s="6" t="s">
        <v>1117</v>
      </c>
      <c r="O142" s="6" t="s">
        <v>1444</v>
      </c>
      <c r="P142" s="6" t="b">
        <v>0</v>
      </c>
      <c r="Q142" s="8" t="s">
        <v>1117</v>
      </c>
    </row>
    <row r="143" spans="1:17" x14ac:dyDescent="0.25">
      <c r="A143" s="4" t="s">
        <v>1421</v>
      </c>
      <c r="B143" s="6" t="s">
        <v>1330</v>
      </c>
      <c r="C143" s="6" t="s">
        <v>349</v>
      </c>
      <c r="D143" s="6" t="s">
        <v>256</v>
      </c>
      <c r="E143" s="5">
        <v>44137</v>
      </c>
      <c r="F143" s="6">
        <v>37</v>
      </c>
      <c r="G143" s="6">
        <v>1</v>
      </c>
      <c r="H143" s="6">
        <v>42</v>
      </c>
      <c r="I143" s="6">
        <v>8</v>
      </c>
      <c r="J143" s="6" t="s">
        <v>565</v>
      </c>
      <c r="K143" s="6" t="s">
        <v>1349</v>
      </c>
      <c r="L143" s="6" t="s">
        <v>1046</v>
      </c>
      <c r="M143" s="7" t="str">
        <f>HYPERLINK("http://ovidsp.ovid.com/ovidweb.cgi?T=JS&amp;NEWS=n&amp;CSC=Y&amp;PAGE=toc&amp;D=yrovft&amp;AN=00043426-000000000-00000","http://ovidsp.ovid.com/ovidweb.cgi?T=JS&amp;NEWS=n&amp;CSC=Y&amp;PAGE=toc&amp;D=yrovft&amp;AN=00043426-000000000-00000")</f>
        <v>http://ovidsp.ovid.com/ovidweb.cgi?T=JS&amp;NEWS=n&amp;CSC=Y&amp;PAGE=toc&amp;D=yrovft&amp;AN=00043426-000000000-00000</v>
      </c>
      <c r="N143" s="6" t="s">
        <v>1117</v>
      </c>
      <c r="O143" s="6" t="s">
        <v>121</v>
      </c>
      <c r="P143" s="6" t="b">
        <v>0</v>
      </c>
      <c r="Q143" s="8" t="s">
        <v>1117</v>
      </c>
    </row>
    <row r="144" spans="1:17" x14ac:dyDescent="0.25">
      <c r="A144" s="4" t="s">
        <v>1116</v>
      </c>
      <c r="B144" s="6" t="s">
        <v>923</v>
      </c>
      <c r="C144" s="6" t="s">
        <v>1553</v>
      </c>
      <c r="D144" s="6" t="s">
        <v>256</v>
      </c>
      <c r="E144" s="5">
        <v>44137</v>
      </c>
      <c r="F144" s="6">
        <v>35</v>
      </c>
      <c r="G144" s="6">
        <v>1</v>
      </c>
      <c r="H144" s="6">
        <v>40</v>
      </c>
      <c r="I144" s="6">
        <v>10</v>
      </c>
      <c r="J144" s="6" t="s">
        <v>1387</v>
      </c>
      <c r="K144" s="6" t="s">
        <v>1349</v>
      </c>
      <c r="L144" s="6" t="s">
        <v>270</v>
      </c>
      <c r="M144" s="7" t="str">
        <f>HYPERLINK("http://ovidsp.ovid.com/ovidweb.cgi?T=JS&amp;NEWS=n&amp;CSC=Y&amp;PAGE=toc&amp;D=yrovft&amp;AN=01241398-000000000-00000","http://ovidsp.ovid.com/ovidweb.cgi?T=JS&amp;NEWS=n&amp;CSC=Y&amp;PAGE=toc&amp;D=yrovft&amp;AN=01241398-000000000-00000")</f>
        <v>http://ovidsp.ovid.com/ovidweb.cgi?T=JS&amp;NEWS=n&amp;CSC=Y&amp;PAGE=toc&amp;D=yrovft&amp;AN=01241398-000000000-00000</v>
      </c>
      <c r="N144" s="6" t="s">
        <v>1117</v>
      </c>
      <c r="O144" s="6" t="s">
        <v>1607</v>
      </c>
      <c r="P144" s="6" t="b">
        <v>0</v>
      </c>
      <c r="Q144" s="8" t="s">
        <v>1117</v>
      </c>
    </row>
    <row r="145" spans="1:17" x14ac:dyDescent="0.25">
      <c r="A145" s="4" t="s">
        <v>1589</v>
      </c>
      <c r="B145" s="6" t="s">
        <v>797</v>
      </c>
      <c r="C145" s="6" t="s">
        <v>1700</v>
      </c>
      <c r="D145" s="6" t="s">
        <v>256</v>
      </c>
      <c r="E145" s="5">
        <v>44137</v>
      </c>
      <c r="F145" s="6">
        <v>24</v>
      </c>
      <c r="G145" s="6">
        <v>1</v>
      </c>
      <c r="H145" s="6">
        <v>29</v>
      </c>
      <c r="I145" s="6">
        <v>6</v>
      </c>
      <c r="J145" s="6" t="s">
        <v>565</v>
      </c>
      <c r="K145" s="6" t="s">
        <v>1349</v>
      </c>
      <c r="L145" s="6" t="s">
        <v>1046</v>
      </c>
      <c r="M145" s="7" t="str">
        <f>HYPERLINK("http://ovidsp.ovid.com/ovidweb.cgi?T=JS&amp;NEWS=n&amp;CSC=Y&amp;PAGE=toc&amp;D=yrovft&amp;AN=01202412-000000000-00000","http://ovidsp.ovid.com/ovidweb.cgi?T=JS&amp;NEWS=n&amp;CSC=Y&amp;PAGE=toc&amp;D=yrovft&amp;AN=01202412-000000000-00000")</f>
        <v>http://ovidsp.ovid.com/ovidweb.cgi?T=JS&amp;NEWS=n&amp;CSC=Y&amp;PAGE=toc&amp;D=yrovft&amp;AN=01202412-000000000-00000</v>
      </c>
      <c r="N145" s="6" t="s">
        <v>1117</v>
      </c>
      <c r="O145" s="6" t="s">
        <v>1025</v>
      </c>
      <c r="P145" s="6" t="b">
        <v>1</v>
      </c>
      <c r="Q145" s="8" t="s">
        <v>1112</v>
      </c>
    </row>
    <row r="146" spans="1:17" x14ac:dyDescent="0.25">
      <c r="A146" s="4" t="s">
        <v>1144</v>
      </c>
      <c r="B146" s="6" t="s">
        <v>493</v>
      </c>
      <c r="C146" s="6" t="s">
        <v>1520</v>
      </c>
      <c r="D146" s="6" t="s">
        <v>256</v>
      </c>
      <c r="E146" s="5">
        <v>44137</v>
      </c>
      <c r="F146" s="6">
        <v>29</v>
      </c>
      <c r="G146" s="6">
        <v>1</v>
      </c>
      <c r="H146" s="6">
        <v>34</v>
      </c>
      <c r="I146" s="6">
        <v>4</v>
      </c>
      <c r="J146" s="6" t="s">
        <v>486</v>
      </c>
      <c r="K146" s="6" t="s">
        <v>1671</v>
      </c>
      <c r="L146" s="6" t="s">
        <v>206</v>
      </c>
      <c r="M146" s="7" t="str">
        <f>HYPERLINK("http://ovidsp.ovid.com/ovidweb.cgi?T=JS&amp;NEWS=n&amp;CSC=Y&amp;PAGE=toc&amp;D=yrovft&amp;AN=00005237-000000000-00000","http://ovidsp.ovid.com/ovidweb.cgi?T=JS&amp;NEWS=n&amp;CSC=Y&amp;PAGE=toc&amp;D=yrovft&amp;AN=00005237-000000000-00000")</f>
        <v>http://ovidsp.ovid.com/ovidweb.cgi?T=JS&amp;NEWS=n&amp;CSC=Y&amp;PAGE=toc&amp;D=yrovft&amp;AN=00005237-000000000-00000</v>
      </c>
      <c r="N146" s="6" t="s">
        <v>1117</v>
      </c>
      <c r="O146" s="6" t="s">
        <v>1191</v>
      </c>
      <c r="P146" s="6" t="b">
        <v>0</v>
      </c>
      <c r="Q146" s="8" t="s">
        <v>1117</v>
      </c>
    </row>
    <row r="147" spans="1:17" x14ac:dyDescent="0.25">
      <c r="A147" s="4" t="s">
        <v>1375</v>
      </c>
      <c r="B147" s="6" t="s">
        <v>970</v>
      </c>
      <c r="C147" s="6" t="s">
        <v>970</v>
      </c>
      <c r="D147" s="6" t="s">
        <v>256</v>
      </c>
      <c r="E147" s="5">
        <v>44137</v>
      </c>
      <c r="F147" s="6">
        <v>21</v>
      </c>
      <c r="G147" s="6">
        <v>1</v>
      </c>
      <c r="H147" s="6">
        <v>26</v>
      </c>
      <c r="I147" s="6">
        <v>5</v>
      </c>
      <c r="J147" s="6" t="s">
        <v>838</v>
      </c>
      <c r="K147" s="6" t="s">
        <v>1349</v>
      </c>
      <c r="L147" s="6" t="s">
        <v>553</v>
      </c>
      <c r="M147" s="7" t="str">
        <f>HYPERLINK("http://ovidsp.ovid.com/ovidweb.cgi?T=JS&amp;NEWS=n&amp;CSC=Y&amp;PAGE=toc&amp;D=yrovft&amp;AN=00131746-000000000-00000","http://ovidsp.ovid.com/ovidweb.cgi?T=JS&amp;NEWS=n&amp;CSC=Y&amp;PAGE=toc&amp;D=yrovft&amp;AN=00131746-000000000-00000")</f>
        <v>http://ovidsp.ovid.com/ovidweb.cgi?T=JS&amp;NEWS=n&amp;CSC=Y&amp;PAGE=toc&amp;D=yrovft&amp;AN=00131746-000000000-00000</v>
      </c>
      <c r="N147" s="6" t="s">
        <v>1117</v>
      </c>
      <c r="O147" s="6" t="s">
        <v>1172</v>
      </c>
      <c r="P147" s="6" t="b">
        <v>0</v>
      </c>
      <c r="Q147" s="8" t="s">
        <v>1117</v>
      </c>
    </row>
    <row r="148" spans="1:17" x14ac:dyDescent="0.25">
      <c r="A148" s="4" t="s">
        <v>301</v>
      </c>
      <c r="B148" s="6" t="s">
        <v>593</v>
      </c>
      <c r="C148" s="6" t="s">
        <v>383</v>
      </c>
      <c r="D148" s="6" t="s">
        <v>256</v>
      </c>
      <c r="E148" s="5">
        <v>44137</v>
      </c>
      <c r="F148" s="6">
        <v>21</v>
      </c>
      <c r="G148" s="6">
        <v>1</v>
      </c>
      <c r="H148" s="6">
        <v>26</v>
      </c>
      <c r="I148" s="6">
        <v>6</v>
      </c>
      <c r="J148" s="6" t="s">
        <v>1635</v>
      </c>
      <c r="K148" s="6" t="s">
        <v>1528</v>
      </c>
      <c r="L148" s="6" t="s">
        <v>270</v>
      </c>
      <c r="M148" s="7" t="str">
        <f>HYPERLINK("http://ovidsp.ovid.com/ovidweb.cgi?T=JS&amp;NEWS=n&amp;CSC=Y&amp;PAGE=toc&amp;D=yrovft&amp;AN=00124784-000000000-00000","http://ovidsp.ovid.com/ovidweb.cgi?T=JS&amp;NEWS=n&amp;CSC=Y&amp;PAGE=toc&amp;D=yrovft&amp;AN=00124784-000000000-00000")</f>
        <v>http://ovidsp.ovid.com/ovidweb.cgi?T=JS&amp;NEWS=n&amp;CSC=Y&amp;PAGE=toc&amp;D=yrovft&amp;AN=00124784-000000000-00000</v>
      </c>
      <c r="N148" s="6" t="s">
        <v>1117</v>
      </c>
      <c r="O148" s="6" t="s">
        <v>1497</v>
      </c>
      <c r="P148" s="6" t="b">
        <v>1</v>
      </c>
      <c r="Q148" s="8" t="s">
        <v>1649</v>
      </c>
    </row>
    <row r="149" spans="1:17" x14ac:dyDescent="0.25">
      <c r="A149" s="4" t="s">
        <v>1141</v>
      </c>
      <c r="B149" s="6" t="s">
        <v>404</v>
      </c>
      <c r="C149" s="6" t="s">
        <v>31</v>
      </c>
      <c r="D149" s="6" t="s">
        <v>256</v>
      </c>
      <c r="E149" s="5">
        <v>44137</v>
      </c>
      <c r="F149" s="6">
        <v>28</v>
      </c>
      <c r="G149" s="6">
        <v>1</v>
      </c>
      <c r="H149" s="6">
        <v>28</v>
      </c>
      <c r="I149" s="6">
        <v>10</v>
      </c>
      <c r="J149" s="6" t="s">
        <v>1603</v>
      </c>
      <c r="K149" s="6" t="s">
        <v>210</v>
      </c>
      <c r="L149" s="6" t="s">
        <v>878</v>
      </c>
      <c r="M149" s="7" t="str">
        <f>HYPERLINK("http://ovidsp.ovid.com/ovidweb.cgi?T=JS&amp;NEWS=n&amp;CSC=Y&amp;PAGE=toc&amp;D=yrovft&amp;AN=00024720-000000000-00000","http://ovidsp.ovid.com/ovidweb.cgi?T=JS&amp;NEWS=n&amp;CSC=Y&amp;PAGE=toc&amp;D=yrovft&amp;AN=00024720-000000000-00000")</f>
        <v>http://ovidsp.ovid.com/ovidweb.cgi?T=JS&amp;NEWS=n&amp;CSC=Y&amp;PAGE=toc&amp;D=yrovft&amp;AN=00024720-000000000-00000</v>
      </c>
      <c r="N149" s="6" t="s">
        <v>1117</v>
      </c>
      <c r="O149" s="6" t="s">
        <v>760</v>
      </c>
      <c r="P149" s="6" t="b">
        <v>1</v>
      </c>
      <c r="Q149" s="8" t="s">
        <v>1246</v>
      </c>
    </row>
    <row r="150" spans="1:17" x14ac:dyDescent="0.25">
      <c r="A150" s="4" t="s">
        <v>851</v>
      </c>
      <c r="B150" s="6" t="s">
        <v>547</v>
      </c>
      <c r="C150" s="6" t="s">
        <v>291</v>
      </c>
      <c r="D150" s="6" t="s">
        <v>256</v>
      </c>
      <c r="E150" s="5">
        <v>44137</v>
      </c>
      <c r="F150" s="6">
        <v>28</v>
      </c>
      <c r="G150" s="6">
        <v>0</v>
      </c>
      <c r="H150" s="6">
        <v>34</v>
      </c>
      <c r="I150" s="6">
        <v>10</v>
      </c>
      <c r="J150" s="6" t="s">
        <v>731</v>
      </c>
      <c r="K150" s="6" t="s">
        <v>248</v>
      </c>
      <c r="L150" s="6" t="s">
        <v>739</v>
      </c>
      <c r="M150" s="7" t="str">
        <f>HYPERLINK("http://ovidsp.ovid.com/ovidweb.cgi?T=JS&amp;NEWS=n&amp;CSC=Y&amp;PAGE=toc&amp;D=yrovft&amp;AN=00124278-000000000-00000","http://ovidsp.ovid.com/ovidweb.cgi?T=JS&amp;NEWS=n&amp;CSC=Y&amp;PAGE=toc&amp;D=yrovft&amp;AN=00124278-000000000-00000")</f>
        <v>http://ovidsp.ovid.com/ovidweb.cgi?T=JS&amp;NEWS=n&amp;CSC=Y&amp;PAGE=toc&amp;D=yrovft&amp;AN=00124278-000000000-00000</v>
      </c>
      <c r="N150" s="6" t="s">
        <v>1117</v>
      </c>
      <c r="O150" s="6" t="s">
        <v>1123</v>
      </c>
      <c r="P150" s="6" t="b">
        <v>0</v>
      </c>
      <c r="Q150" s="8" t="s">
        <v>1117</v>
      </c>
    </row>
    <row r="151" spans="1:17" x14ac:dyDescent="0.25">
      <c r="A151" s="4" t="s">
        <v>424</v>
      </c>
      <c r="B151" s="6" t="s">
        <v>518</v>
      </c>
      <c r="C151" s="6" t="s">
        <v>1117</v>
      </c>
      <c r="D151" s="6" t="s">
        <v>256</v>
      </c>
      <c r="E151" s="5">
        <v>44137</v>
      </c>
      <c r="F151" s="6">
        <v>23</v>
      </c>
      <c r="G151" s="6">
        <v>1</v>
      </c>
      <c r="H151" s="6">
        <v>28</v>
      </c>
      <c r="I151" s="6">
        <v>20</v>
      </c>
      <c r="J151" s="6" t="s">
        <v>1487</v>
      </c>
      <c r="K151" s="6" t="s">
        <v>1349</v>
      </c>
      <c r="L151" s="6" t="s">
        <v>310</v>
      </c>
      <c r="M151" s="7" t="str">
        <f>HYPERLINK("http://ovidsp.ovid.com/ovidweb.cgi?T=JS&amp;NEWS=n&amp;CSC=Y&amp;PAGE=toc&amp;D=yrovft&amp;AN=00124635-000000000-00000","http://ovidsp.ovid.com/ovidweb.cgi?T=JS&amp;NEWS=n&amp;CSC=Y&amp;PAGE=toc&amp;D=yrovft&amp;AN=00124635-000000000-00000")</f>
        <v>http://ovidsp.ovid.com/ovidweb.cgi?T=JS&amp;NEWS=n&amp;CSC=Y&amp;PAGE=toc&amp;D=yrovft&amp;AN=00124635-000000000-00000</v>
      </c>
      <c r="N151" s="6" t="s">
        <v>1117</v>
      </c>
      <c r="O151" s="6" t="s">
        <v>1565</v>
      </c>
      <c r="P151" s="6" t="b">
        <v>0</v>
      </c>
      <c r="Q151" s="8" t="s">
        <v>1117</v>
      </c>
    </row>
    <row r="152" spans="1:17" x14ac:dyDescent="0.25">
      <c r="A152" s="4" t="s">
        <v>1464</v>
      </c>
      <c r="B152" s="6" t="s">
        <v>1447</v>
      </c>
      <c r="C152" s="6" t="s">
        <v>946</v>
      </c>
      <c r="D152" s="6" t="s">
        <v>256</v>
      </c>
      <c r="E152" s="5">
        <v>44137</v>
      </c>
      <c r="F152" s="6">
        <v>30</v>
      </c>
      <c r="G152" s="6">
        <v>1</v>
      </c>
      <c r="H152" s="6">
        <v>35</v>
      </c>
      <c r="I152" s="6">
        <v>5</v>
      </c>
      <c r="J152" s="6" t="s">
        <v>838</v>
      </c>
      <c r="K152" s="6" t="s">
        <v>1349</v>
      </c>
      <c r="L152" s="6" t="s">
        <v>553</v>
      </c>
      <c r="M152" s="7" t="str">
        <f>HYPERLINK("http://ovidsp.ovid.com/ovidweb.cgi?T=JS&amp;NEWS=n&amp;CSC=Y&amp;PAGE=toc&amp;D=yrovft&amp;AN=00005382-000000000-00000","http://ovidsp.ovid.com/ovidweb.cgi?T=JS&amp;NEWS=n&amp;CSC=Y&amp;PAGE=toc&amp;D=yrovft&amp;AN=00005382-000000000-00000")</f>
        <v>http://ovidsp.ovid.com/ovidweb.cgi?T=JS&amp;NEWS=n&amp;CSC=Y&amp;PAGE=toc&amp;D=yrovft&amp;AN=00005382-000000000-00000</v>
      </c>
      <c r="N152" s="6" t="s">
        <v>1117</v>
      </c>
      <c r="O152" s="6" t="s">
        <v>617</v>
      </c>
      <c r="P152" s="6" t="b">
        <v>1</v>
      </c>
      <c r="Q152" s="8" t="s">
        <v>1400</v>
      </c>
    </row>
    <row r="153" spans="1:17" x14ac:dyDescent="0.25">
      <c r="A153" s="4" t="s">
        <v>940</v>
      </c>
      <c r="B153" s="6" t="s">
        <v>360</v>
      </c>
      <c r="C153" s="6" t="s">
        <v>1117</v>
      </c>
      <c r="D153" s="6" t="s">
        <v>256</v>
      </c>
      <c r="E153" s="5">
        <v>44137</v>
      </c>
      <c r="F153" s="6">
        <v>78</v>
      </c>
      <c r="G153" s="6">
        <v>1</v>
      </c>
      <c r="H153" s="6">
        <v>89</v>
      </c>
      <c r="I153" s="6">
        <v>4</v>
      </c>
      <c r="J153" s="6" t="s">
        <v>1189</v>
      </c>
      <c r="K153" s="6" t="s">
        <v>1349</v>
      </c>
      <c r="L153" s="6" t="s">
        <v>739</v>
      </c>
      <c r="M153" s="7" t="str">
        <f>HYPERLINK("http://ovidsp.ovid.com/ovidweb.cgi?T=JS&amp;NEWS=n&amp;CSC=Y&amp;PAGE=toc&amp;D=yrovft&amp;AN=01586154-000000000-00000","http://ovidsp.ovid.com/ovidweb.cgi?T=JS&amp;NEWS=n&amp;CSC=Y&amp;PAGE=toc&amp;D=yrovft&amp;AN=01586154-000000000-00000")</f>
        <v>http://ovidsp.ovid.com/ovidweb.cgi?T=JS&amp;NEWS=n&amp;CSC=Y&amp;PAGE=toc&amp;D=yrovft&amp;AN=01586154-000000000-00000</v>
      </c>
      <c r="N153" s="6" t="s">
        <v>1117</v>
      </c>
      <c r="O153" s="6" t="s">
        <v>324</v>
      </c>
      <c r="P153" s="6" t="b">
        <v>1</v>
      </c>
      <c r="Q153" s="8" t="s">
        <v>357</v>
      </c>
    </row>
    <row r="154" spans="1:17" x14ac:dyDescent="0.25">
      <c r="A154" s="4" t="s">
        <v>952</v>
      </c>
      <c r="B154" s="6" t="s">
        <v>955</v>
      </c>
      <c r="C154" s="6" t="s">
        <v>64</v>
      </c>
      <c r="D154" s="6" t="s">
        <v>256</v>
      </c>
      <c r="E154" s="5">
        <v>44137</v>
      </c>
      <c r="F154" s="6">
        <v>193</v>
      </c>
      <c r="G154" s="6">
        <v>1</v>
      </c>
      <c r="H154" s="6">
        <v>204</v>
      </c>
      <c r="I154" s="6">
        <v>5</v>
      </c>
      <c r="J154" s="6" t="s">
        <v>565</v>
      </c>
      <c r="K154" s="6" t="s">
        <v>1349</v>
      </c>
      <c r="L154" s="6" t="s">
        <v>1046</v>
      </c>
      <c r="M154" s="7" t="str">
        <f>HYPERLINK("http://ovidsp.ovid.com/ovidweb.cgi?T=JS&amp;NEWS=n&amp;CSC=Y&amp;PAGE=toc&amp;D=yrovft&amp;AN=00076734-000000000-00000","http://ovidsp.ovid.com/ovidweb.cgi?T=JS&amp;NEWS=n&amp;CSC=Y&amp;PAGE=toc&amp;D=yrovft&amp;AN=00076734-000000000-00000")</f>
        <v>http://ovidsp.ovid.com/ovidweb.cgi?T=JS&amp;NEWS=n&amp;CSC=Y&amp;PAGE=toc&amp;D=yrovft&amp;AN=00076734-000000000-00000</v>
      </c>
      <c r="N154" s="6" t="s">
        <v>1117</v>
      </c>
      <c r="O154" s="6" t="s">
        <v>459</v>
      </c>
      <c r="P154" s="6" t="b">
        <v>1</v>
      </c>
      <c r="Q154" s="8" t="s">
        <v>1201</v>
      </c>
    </row>
    <row r="155" spans="1:17" x14ac:dyDescent="0.25">
      <c r="A155" s="4" t="s">
        <v>272</v>
      </c>
      <c r="B155" s="6" t="s">
        <v>1470</v>
      </c>
      <c r="C155" s="6" t="s">
        <v>1315</v>
      </c>
      <c r="D155" s="6" t="s">
        <v>256</v>
      </c>
      <c r="E155" s="5">
        <v>44137</v>
      </c>
      <c r="F155" s="6">
        <v>21</v>
      </c>
      <c r="G155" s="6">
        <v>1</v>
      </c>
      <c r="H155" s="6">
        <v>26</v>
      </c>
      <c r="I155" s="6">
        <v>10</v>
      </c>
      <c r="J155" s="6" t="s">
        <v>565</v>
      </c>
      <c r="K155" s="6" t="s">
        <v>1349</v>
      </c>
      <c r="L155" s="6" t="s">
        <v>1046</v>
      </c>
      <c r="M155" s="7" t="str">
        <f>HYPERLINK("http://ovidsp.ovid.com/ovidweb.cgi?T=JS&amp;NEWS=n&amp;CSC=Y&amp;PAGE=toc&amp;D=yrovft&amp;AN=01300517-000000000-00000","http://ovidsp.ovid.com/ovidweb.cgi?T=JS&amp;NEWS=n&amp;CSC=Y&amp;PAGE=toc&amp;D=yrovft&amp;AN=01300517-000000000-00000")</f>
        <v>http://ovidsp.ovid.com/ovidweb.cgi?T=JS&amp;NEWS=n&amp;CSC=Y&amp;PAGE=toc&amp;D=yrovft&amp;AN=01300517-000000000-00000</v>
      </c>
      <c r="N155" s="6" t="s">
        <v>1117</v>
      </c>
      <c r="O155" s="6" t="s">
        <v>529</v>
      </c>
      <c r="P155" s="6" t="b">
        <v>0</v>
      </c>
      <c r="Q155" s="8" t="s">
        <v>1117</v>
      </c>
    </row>
    <row r="156" spans="1:17" x14ac:dyDescent="0.25">
      <c r="A156" s="4" t="s">
        <v>1041</v>
      </c>
      <c r="B156" s="6" t="s">
        <v>1597</v>
      </c>
      <c r="C156" s="6" t="s">
        <v>1117</v>
      </c>
      <c r="D156" s="6" t="s">
        <v>256</v>
      </c>
      <c r="E156" s="5">
        <v>44137</v>
      </c>
      <c r="F156" s="6">
        <v>1</v>
      </c>
      <c r="G156" s="6">
        <v>1</v>
      </c>
      <c r="H156" s="6">
        <v>5</v>
      </c>
      <c r="I156" s="6">
        <v>6</v>
      </c>
      <c r="J156" s="6" t="s">
        <v>268</v>
      </c>
      <c r="K156" s="6" t="s">
        <v>1125</v>
      </c>
      <c r="L156" s="6" t="s">
        <v>1596</v>
      </c>
      <c r="M156" s="7" t="str">
        <f>HYPERLINK("http://ovidsp.ovid.com/ovidweb.cgi?T=JS&amp;NEWS=n&amp;CSC=Y&amp;PAGE=toc&amp;D=yrovft&amp;AN=01212983-000000000-00000","http://ovidsp.ovid.com/ovidweb.cgi?T=JS&amp;NEWS=n&amp;CSC=Y&amp;PAGE=toc&amp;D=yrovft&amp;AN=01212983-000000000-00000")</f>
        <v>http://ovidsp.ovid.com/ovidweb.cgi?T=JS&amp;NEWS=n&amp;CSC=Y&amp;PAGE=toc&amp;D=yrovft&amp;AN=01212983-000000000-00000</v>
      </c>
      <c r="N156" s="6" t="s">
        <v>1117</v>
      </c>
      <c r="O156" s="6" t="s">
        <v>636</v>
      </c>
      <c r="P156" s="6" t="b">
        <v>0</v>
      </c>
      <c r="Q156" s="8" t="s">
        <v>1117</v>
      </c>
    </row>
    <row r="157" spans="1:17" x14ac:dyDescent="0.25">
      <c r="A157" s="4" t="s">
        <v>322</v>
      </c>
      <c r="B157" s="6" t="s">
        <v>1176</v>
      </c>
      <c r="C157" s="6" t="s">
        <v>1117</v>
      </c>
      <c r="D157" s="6" t="s">
        <v>256</v>
      </c>
      <c r="E157" s="5">
        <v>44137</v>
      </c>
      <c r="F157" s="6">
        <v>40</v>
      </c>
      <c r="G157" s="6">
        <v>1</v>
      </c>
      <c r="H157" s="6">
        <v>45</v>
      </c>
      <c r="I157" s="6">
        <v>6</v>
      </c>
      <c r="J157" s="6" t="s">
        <v>1635</v>
      </c>
      <c r="K157" s="6" t="s">
        <v>1528</v>
      </c>
      <c r="L157" s="6" t="s">
        <v>270</v>
      </c>
      <c r="M157" s="7" t="str">
        <f>HYPERLINK("http://ovidsp.ovid.com/ovidweb.cgi?T=JS&amp;NEWS=n&amp;CSC=Y&amp;PAGE=toc&amp;D=yrovft&amp;AN=00005721-000000000-00000","http://ovidsp.ovid.com/ovidweb.cgi?T=JS&amp;NEWS=n&amp;CSC=Y&amp;PAGE=toc&amp;D=yrovft&amp;AN=00005721-000000000-00000")</f>
        <v>http://ovidsp.ovid.com/ovidweb.cgi?T=JS&amp;NEWS=n&amp;CSC=Y&amp;PAGE=toc&amp;D=yrovft&amp;AN=00005721-000000000-00000</v>
      </c>
      <c r="N157" s="6" t="s">
        <v>1117</v>
      </c>
      <c r="O157" s="6" t="s">
        <v>1083</v>
      </c>
      <c r="P157" s="6" t="b">
        <v>0</v>
      </c>
      <c r="Q157" s="8" t="s">
        <v>1117</v>
      </c>
    </row>
    <row r="158" spans="1:17" x14ac:dyDescent="0.25">
      <c r="A158" s="4" t="s">
        <v>1545</v>
      </c>
      <c r="B158" s="6" t="s">
        <v>648</v>
      </c>
      <c r="C158" s="6" t="s">
        <v>46</v>
      </c>
      <c r="D158" s="6" t="s">
        <v>256</v>
      </c>
      <c r="E158" s="5">
        <v>44137</v>
      </c>
      <c r="F158" s="6">
        <v>53</v>
      </c>
      <c r="G158" s="6">
        <v>1</v>
      </c>
      <c r="H158" s="6">
        <v>58</v>
      </c>
      <c r="I158" s="6">
        <v>11</v>
      </c>
      <c r="J158" s="6" t="s">
        <v>565</v>
      </c>
      <c r="K158" s="6" t="s">
        <v>1349</v>
      </c>
      <c r="L158" s="6" t="s">
        <v>1046</v>
      </c>
      <c r="M158" s="7" t="str">
        <f>HYPERLINK("http://ovidsp.ovid.com/ovidweb.cgi?T=JS&amp;NEWS=n&amp;CSC=Y&amp;PAGE=toc&amp;D=yrovft&amp;AN=00005650-000000000-00000","http://ovidsp.ovid.com/ovidweb.cgi?T=JS&amp;NEWS=n&amp;CSC=Y&amp;PAGE=toc&amp;D=yrovft&amp;AN=00005650-000000000-00000")</f>
        <v>http://ovidsp.ovid.com/ovidweb.cgi?T=JS&amp;NEWS=n&amp;CSC=Y&amp;PAGE=toc&amp;D=yrovft&amp;AN=00005650-000000000-00000</v>
      </c>
      <c r="N158" s="6" t="s">
        <v>1117</v>
      </c>
      <c r="O158" s="6" t="s">
        <v>963</v>
      </c>
      <c r="P158" s="6" t="b">
        <v>1</v>
      </c>
      <c r="Q158" s="8" t="s">
        <v>1128</v>
      </c>
    </row>
    <row r="159" spans="1:17" x14ac:dyDescent="0.25">
      <c r="A159" s="4" t="s">
        <v>1308</v>
      </c>
      <c r="B159" s="6" t="s">
        <v>734</v>
      </c>
      <c r="C159" s="6" t="s">
        <v>199</v>
      </c>
      <c r="D159" s="6" t="s">
        <v>256</v>
      </c>
      <c r="E159" s="5">
        <v>44137</v>
      </c>
      <c r="F159" s="6">
        <v>1</v>
      </c>
      <c r="G159" s="6">
        <v>1</v>
      </c>
      <c r="H159" s="6">
        <v>99</v>
      </c>
      <c r="I159" s="6">
        <v>42</v>
      </c>
      <c r="J159" s="6" t="s">
        <v>9</v>
      </c>
      <c r="K159" s="6" t="s">
        <v>1267</v>
      </c>
      <c r="L159" s="6" t="s">
        <v>519</v>
      </c>
      <c r="M159" s="7" t="str">
        <f>HYPERLINK("http://ovidsp.ovid.com/ovidweb.cgi?T=JS&amp;NEWS=n&amp;CSC=Y&amp;PAGE=toc&amp;D=yrovft&amp;AN=00005792-000000000-00000","http://ovidsp.ovid.com/ovidweb.cgi?T=JS&amp;NEWS=n&amp;CSC=Y&amp;PAGE=toc&amp;D=yrovft&amp;AN=00005792-000000000-00000")</f>
        <v>http://ovidsp.ovid.com/ovidweb.cgi?T=JS&amp;NEWS=n&amp;CSC=Y&amp;PAGE=toc&amp;D=yrovft&amp;AN=00005792-000000000-00000</v>
      </c>
      <c r="N159" s="6" t="s">
        <v>1117</v>
      </c>
      <c r="O159" s="6" t="s">
        <v>646</v>
      </c>
      <c r="P159" s="6" t="b">
        <v>0</v>
      </c>
      <c r="Q159" s="8" t="s">
        <v>1117</v>
      </c>
    </row>
    <row r="160" spans="1:17" x14ac:dyDescent="0.25">
      <c r="A160" s="4" t="s">
        <v>871</v>
      </c>
      <c r="B160" s="6" t="s">
        <v>700</v>
      </c>
      <c r="C160" s="6" t="s">
        <v>1153</v>
      </c>
      <c r="D160" s="6" t="s">
        <v>256</v>
      </c>
      <c r="E160" s="5">
        <v>44137</v>
      </c>
      <c r="F160" s="6">
        <v>47</v>
      </c>
      <c r="G160" s="6">
        <v>1</v>
      </c>
      <c r="H160" s="6">
        <v>52</v>
      </c>
      <c r="I160" s="6">
        <v>11</v>
      </c>
      <c r="J160" s="6" t="s">
        <v>565</v>
      </c>
      <c r="K160" s="6" t="s">
        <v>1349</v>
      </c>
      <c r="L160" s="6" t="s">
        <v>1046</v>
      </c>
      <c r="M160" s="7" t="str">
        <f>HYPERLINK("http://ovidsp.ovid.com/ovidweb.cgi?T=JS&amp;NEWS=n&amp;CSC=Y&amp;PAGE=toc&amp;D=yrovft&amp;AN=00005768-000000000-00000","http://ovidsp.ovid.com/ovidweb.cgi?T=JS&amp;NEWS=n&amp;CSC=Y&amp;PAGE=toc&amp;D=yrovft&amp;AN=00005768-000000000-00000")</f>
        <v>http://ovidsp.ovid.com/ovidweb.cgi?T=JS&amp;NEWS=n&amp;CSC=Y&amp;PAGE=toc&amp;D=yrovft&amp;AN=00005768-000000000-00000</v>
      </c>
      <c r="N160" s="6" t="s">
        <v>1117</v>
      </c>
      <c r="O160" s="6" t="s">
        <v>134</v>
      </c>
      <c r="P160" s="6" t="b">
        <v>1</v>
      </c>
      <c r="Q160" s="8" t="s">
        <v>558</v>
      </c>
    </row>
    <row r="161" spans="1:17" x14ac:dyDescent="0.25">
      <c r="A161" s="4" t="s">
        <v>1414</v>
      </c>
      <c r="B161" s="6" t="s">
        <v>629</v>
      </c>
      <c r="C161" s="6" t="s">
        <v>1664</v>
      </c>
      <c r="D161" s="6" t="s">
        <v>256</v>
      </c>
      <c r="E161" s="5">
        <v>44137</v>
      </c>
      <c r="F161" s="6">
        <v>25</v>
      </c>
      <c r="G161" s="6">
        <v>1</v>
      </c>
      <c r="H161" s="6">
        <v>30</v>
      </c>
      <c r="I161" s="6">
        <v>5</v>
      </c>
      <c r="J161" s="6" t="s">
        <v>1686</v>
      </c>
      <c r="K161" s="6" t="s">
        <v>210</v>
      </c>
      <c r="L161" s="6" t="s">
        <v>739</v>
      </c>
      <c r="M161" s="7" t="str">
        <f>HYPERLINK("http://ovidsp.ovid.com/ovidweb.cgi?T=JS&amp;NEWS=n&amp;CSC=Y&amp;PAGE=toc&amp;D=yrovft&amp;AN=00008390-000000000-00000","http://ovidsp.ovid.com/ovidweb.cgi?T=JS&amp;NEWS=n&amp;CSC=Y&amp;PAGE=toc&amp;D=yrovft&amp;AN=00008390-000000000-00000")</f>
        <v>http://ovidsp.ovid.com/ovidweb.cgi?T=JS&amp;NEWS=n&amp;CSC=Y&amp;PAGE=toc&amp;D=yrovft&amp;AN=00008390-000000000-00000</v>
      </c>
      <c r="N161" s="6" t="s">
        <v>1117</v>
      </c>
      <c r="O161" s="6" t="s">
        <v>1427</v>
      </c>
      <c r="P161" s="6" t="b">
        <v>1</v>
      </c>
      <c r="Q161" s="8" t="s">
        <v>967</v>
      </c>
    </row>
    <row r="162" spans="1:17" x14ac:dyDescent="0.25">
      <c r="A162" s="4" t="s">
        <v>54</v>
      </c>
      <c r="B162" s="6" t="s">
        <v>1107</v>
      </c>
      <c r="C162" s="6" t="s">
        <v>1117</v>
      </c>
      <c r="D162" s="6" t="s">
        <v>256</v>
      </c>
      <c r="E162" s="5">
        <v>44137</v>
      </c>
      <c r="F162" s="6">
        <v>19</v>
      </c>
      <c r="G162" s="6">
        <v>2</v>
      </c>
      <c r="H162" s="6">
        <v>25</v>
      </c>
      <c r="I162" s="6">
        <v>5</v>
      </c>
      <c r="J162" s="6" t="s">
        <v>838</v>
      </c>
      <c r="K162" s="6" t="s">
        <v>1349</v>
      </c>
      <c r="L162" s="6" t="s">
        <v>553</v>
      </c>
      <c r="M162" s="7" t="str">
        <f>HYPERLINK("http://ovidsp.ovid.com/ovidweb.cgi?T=JS&amp;NEWS=n&amp;CSC=Y&amp;PAGE=toc&amp;D=yrovft&amp;AN=00127893-000000000-00000","http://ovidsp.ovid.com/ovidweb.cgi?T=JS&amp;NEWS=n&amp;CSC=Y&amp;PAGE=toc&amp;D=yrovft&amp;AN=00127893-000000000-00000")</f>
        <v>http://ovidsp.ovid.com/ovidweb.cgi?T=JS&amp;NEWS=n&amp;CSC=Y&amp;PAGE=toc&amp;D=yrovft&amp;AN=00127893-000000000-00000</v>
      </c>
      <c r="N162" s="6" t="s">
        <v>1117</v>
      </c>
      <c r="O162" s="6" t="s">
        <v>1291</v>
      </c>
      <c r="P162" s="6" t="b">
        <v>0</v>
      </c>
      <c r="Q162" s="8" t="s">
        <v>1117</v>
      </c>
    </row>
    <row r="163" spans="1:17" x14ac:dyDescent="0.25">
      <c r="A163" s="4" t="s">
        <v>353</v>
      </c>
      <c r="B163" s="6" t="s">
        <v>161</v>
      </c>
      <c r="C163" s="6" t="s">
        <v>8</v>
      </c>
      <c r="D163" s="6" t="s">
        <v>1754</v>
      </c>
      <c r="E163" s="5">
        <v>44137</v>
      </c>
      <c r="F163" s="6">
        <v>45</v>
      </c>
      <c r="G163" s="6">
        <v>1</v>
      </c>
      <c r="H163" s="6">
        <v>95</v>
      </c>
      <c r="I163" s="6">
        <v>16</v>
      </c>
      <c r="J163" s="6" t="s">
        <v>658</v>
      </c>
      <c r="K163" s="6" t="s">
        <v>819</v>
      </c>
      <c r="L163" s="6" t="s">
        <v>990</v>
      </c>
      <c r="M163" s="7" t="str">
        <f>HYPERLINK("http://ovidsp.ovid.com/ovidweb.cgi?T=JS&amp;NEWS=n&amp;CSC=Y&amp;PAGE=toc&amp;D=yrovft&amp;AN=00006114-000000000-00000","http://ovidsp.ovid.com/ovidweb.cgi?T=JS&amp;NEWS=n&amp;CSC=Y&amp;PAGE=toc&amp;D=yrovft&amp;AN=00006114-000000000-00000")</f>
        <v>http://ovidsp.ovid.com/ovidweb.cgi?T=JS&amp;NEWS=n&amp;CSC=Y&amp;PAGE=toc&amp;D=yrovft&amp;AN=00006114-000000000-00000</v>
      </c>
      <c r="N163" s="6" t="s">
        <v>1117</v>
      </c>
      <c r="O163" s="6" t="s">
        <v>1328</v>
      </c>
      <c r="P163" s="6" t="b">
        <v>1</v>
      </c>
      <c r="Q163" s="8" t="s">
        <v>1411</v>
      </c>
    </row>
    <row r="164" spans="1:17" x14ac:dyDescent="0.25">
      <c r="A164" s="4" t="s">
        <v>1278</v>
      </c>
      <c r="B164" s="6" t="s">
        <v>544</v>
      </c>
      <c r="C164" s="6" t="s">
        <v>522</v>
      </c>
      <c r="D164" s="6" t="s">
        <v>1754</v>
      </c>
      <c r="E164" s="5">
        <v>44137</v>
      </c>
      <c r="F164" s="6">
        <v>1</v>
      </c>
      <c r="G164" s="6">
        <v>1</v>
      </c>
      <c r="H164" s="6">
        <v>10</v>
      </c>
      <c r="I164" s="6">
        <v>5</v>
      </c>
      <c r="J164" s="6" t="s">
        <v>1403</v>
      </c>
      <c r="K164" s="6" t="s">
        <v>62</v>
      </c>
      <c r="L164" s="6" t="s">
        <v>739</v>
      </c>
      <c r="M164" s="7" t="str">
        <f>HYPERLINK("http://ovidsp.ovid.com/ovidweb.cgi?T=JS&amp;NEWS=n&amp;CSC=Y&amp;PAGE=toc&amp;D=yrovft&amp;AN=01586158-000000000-00000","http://ovidsp.ovid.com/ovidweb.cgi?T=JS&amp;NEWS=n&amp;CSC=Y&amp;PAGE=toc&amp;D=yrovft&amp;AN=01586158-000000000-00000")</f>
        <v>http://ovidsp.ovid.com/ovidweb.cgi?T=JS&amp;NEWS=n&amp;CSC=Y&amp;PAGE=toc&amp;D=yrovft&amp;AN=01586158-000000000-00000</v>
      </c>
      <c r="N164" s="6" t="s">
        <v>1117</v>
      </c>
      <c r="O164" s="6" t="s">
        <v>552</v>
      </c>
      <c r="P164" s="6" t="b">
        <v>0</v>
      </c>
      <c r="Q164" s="8" t="s">
        <v>1117</v>
      </c>
    </row>
    <row r="165" spans="1:17" x14ac:dyDescent="0.25">
      <c r="A165" s="4" t="s">
        <v>1706</v>
      </c>
      <c r="B165" s="6" t="s">
        <v>638</v>
      </c>
      <c r="C165" s="6" t="s">
        <v>8</v>
      </c>
      <c r="D165" s="6" t="s">
        <v>256</v>
      </c>
      <c r="E165" s="5">
        <v>44137</v>
      </c>
      <c r="F165" s="6">
        <v>1</v>
      </c>
      <c r="G165" s="6">
        <v>1</v>
      </c>
      <c r="H165" s="6">
        <v>6</v>
      </c>
      <c r="I165" s="6">
        <v>5</v>
      </c>
      <c r="J165" s="6" t="s">
        <v>1509</v>
      </c>
      <c r="K165" s="6" t="s">
        <v>931</v>
      </c>
      <c r="L165" s="6" t="s">
        <v>739</v>
      </c>
      <c r="M165" s="7" t="str">
        <f>HYPERLINK("http://ovidsp.ovid.com/ovidweb.cgi?T=JS&amp;NEWS=n&amp;CSC=Y&amp;PAGE=toc&amp;D=yrovft&amp;AN=01861735-000000000-00000","http://ovidsp.ovid.com/ovidweb.cgi?T=JS&amp;NEWS=n&amp;CSC=Y&amp;PAGE=toc&amp;D=yrovft&amp;AN=01861735-000000000-00000")</f>
        <v>http://ovidsp.ovid.com/ovidweb.cgi?T=JS&amp;NEWS=n&amp;CSC=Y&amp;PAGE=toc&amp;D=yrovft&amp;AN=01861735-000000000-00000</v>
      </c>
      <c r="N165" s="6" t="s">
        <v>1117</v>
      </c>
      <c r="O165" s="6" t="s">
        <v>1737</v>
      </c>
      <c r="P165" s="6" t="b">
        <v>0</v>
      </c>
      <c r="Q165" s="8" t="s">
        <v>1117</v>
      </c>
    </row>
    <row r="166" spans="1:17" x14ac:dyDescent="0.25">
      <c r="A166" s="4" t="s">
        <v>1753</v>
      </c>
      <c r="B166" s="6" t="s">
        <v>1370</v>
      </c>
      <c r="C166" s="6" t="s">
        <v>8</v>
      </c>
      <c r="D166" s="6" t="s">
        <v>1754</v>
      </c>
      <c r="E166" s="5">
        <v>44137</v>
      </c>
      <c r="F166" s="6">
        <v>1</v>
      </c>
      <c r="G166" s="6">
        <v>1</v>
      </c>
      <c r="H166" s="6">
        <v>7</v>
      </c>
      <c r="I166" s="6">
        <v>5</v>
      </c>
      <c r="J166" s="6" t="s">
        <v>1685</v>
      </c>
      <c r="K166" s="6" t="s">
        <v>808</v>
      </c>
      <c r="L166" s="6" t="s">
        <v>553</v>
      </c>
      <c r="M166" s="7" t="str">
        <f>HYPERLINK("http://ovidsp.ovid.com/ovidweb.cgi?T=JS&amp;NEWS=n&amp;CSC=Y&amp;PAGE=toc&amp;D=yrovft&amp;AN=01787401-000000000-00000","http://ovidsp.ovid.com/ovidweb.cgi?T=JS&amp;NEWS=n&amp;CSC=Y&amp;PAGE=toc&amp;D=yrovft&amp;AN=01787401-000000000-00000")</f>
        <v>http://ovidsp.ovid.com/ovidweb.cgi?T=JS&amp;NEWS=n&amp;CSC=Y&amp;PAGE=toc&amp;D=yrovft&amp;AN=01787401-000000000-00000</v>
      </c>
      <c r="N166" s="6" t="s">
        <v>1117</v>
      </c>
      <c r="O166" s="6" t="s">
        <v>1506</v>
      </c>
      <c r="P166" s="6" t="b">
        <v>0</v>
      </c>
      <c r="Q166" s="8" t="s">
        <v>1117</v>
      </c>
    </row>
    <row r="167" spans="1:17" x14ac:dyDescent="0.25">
      <c r="A167" s="4" t="s">
        <v>192</v>
      </c>
      <c r="B167" s="6" t="s">
        <v>481</v>
      </c>
      <c r="C167" s="6" t="s">
        <v>1138</v>
      </c>
      <c r="D167" s="6" t="s">
        <v>256</v>
      </c>
      <c r="E167" s="5">
        <v>44137</v>
      </c>
      <c r="F167" s="6">
        <v>11</v>
      </c>
      <c r="G167" s="6">
        <v>1</v>
      </c>
      <c r="H167" s="6">
        <v>26</v>
      </c>
      <c r="I167" s="6">
        <v>4</v>
      </c>
      <c r="J167" s="6" t="s">
        <v>727</v>
      </c>
      <c r="K167" s="6" t="s">
        <v>926</v>
      </c>
      <c r="L167" s="6" t="s">
        <v>343</v>
      </c>
      <c r="M167" s="7" t="str">
        <f>HYPERLINK("http://ovidsp.ovid.com/ovidweb.cgi?T=JS&amp;NEWS=n&amp;CSC=Y&amp;PAGE=toc&amp;D=yrovft&amp;AN=00013414-000000000-00000","http://ovidsp.ovid.com/ovidweb.cgi?T=JS&amp;NEWS=n&amp;CSC=Y&amp;PAGE=toc&amp;D=yrovft&amp;AN=00013414-000000000-00000")</f>
        <v>http://ovidsp.ovid.com/ovidweb.cgi?T=JS&amp;NEWS=n&amp;CSC=Y&amp;PAGE=toc&amp;D=yrovft&amp;AN=00013414-000000000-00000</v>
      </c>
      <c r="N167" s="6" t="s">
        <v>1117</v>
      </c>
      <c r="O167" s="6" t="s">
        <v>837</v>
      </c>
      <c r="P167" s="6" t="b">
        <v>0</v>
      </c>
      <c r="Q167" s="8" t="s">
        <v>1117</v>
      </c>
    </row>
    <row r="168" spans="1:17" x14ac:dyDescent="0.25">
      <c r="A168" s="4" t="s">
        <v>1641</v>
      </c>
      <c r="B168" s="6" t="s">
        <v>703</v>
      </c>
      <c r="C168" s="6" t="s">
        <v>588</v>
      </c>
      <c r="D168" s="6" t="s">
        <v>256</v>
      </c>
      <c r="E168" s="5">
        <v>44137</v>
      </c>
      <c r="F168" s="6">
        <v>36</v>
      </c>
      <c r="G168" s="6">
        <v>1</v>
      </c>
      <c r="H168" s="6">
        <v>41</v>
      </c>
      <c r="I168" s="6">
        <v>11</v>
      </c>
      <c r="J168" s="6" t="s">
        <v>565</v>
      </c>
      <c r="K168" s="6" t="s">
        <v>1349</v>
      </c>
      <c r="L168" s="6" t="s">
        <v>1046</v>
      </c>
      <c r="M168" s="7" t="str">
        <f>HYPERLINK("http://ovidsp.ovid.com/ovidweb.cgi?T=JS&amp;NEWS=n&amp;CSC=Y&amp;PAGE=toc&amp;D=yrovft&amp;AN=00006231-000000000-00000","http://ovidsp.ovid.com/ovidweb.cgi?T=JS&amp;NEWS=n&amp;CSC=Y&amp;PAGE=toc&amp;D=yrovft&amp;AN=00006231-000000000-00000")</f>
        <v>http://ovidsp.ovid.com/ovidweb.cgi?T=JS&amp;NEWS=n&amp;CSC=Y&amp;PAGE=toc&amp;D=yrovft&amp;AN=00006231-000000000-00000</v>
      </c>
      <c r="N168" s="6" t="s">
        <v>1117</v>
      </c>
      <c r="O168" s="6" t="s">
        <v>17</v>
      </c>
      <c r="P168" s="6" t="b">
        <v>1</v>
      </c>
      <c r="Q168" s="8" t="s">
        <v>1097</v>
      </c>
    </row>
    <row r="169" spans="1:17" x14ac:dyDescent="0.25">
      <c r="A169" s="4" t="s">
        <v>491</v>
      </c>
      <c r="B169" s="6" t="s">
        <v>973</v>
      </c>
      <c r="C169" s="6" t="s">
        <v>1117</v>
      </c>
      <c r="D169" s="6" t="s">
        <v>256</v>
      </c>
      <c r="E169" s="5">
        <v>44137</v>
      </c>
      <c r="F169" s="6">
        <v>40</v>
      </c>
      <c r="G169" s="6">
        <v>1</v>
      </c>
      <c r="H169" s="6">
        <v>45</v>
      </c>
      <c r="I169" s="6">
        <v>5</v>
      </c>
      <c r="J169" s="6" t="s">
        <v>1616</v>
      </c>
      <c r="K169" s="6" t="s">
        <v>1528</v>
      </c>
      <c r="L169" s="6" t="s">
        <v>452</v>
      </c>
      <c r="M169" s="7" t="str">
        <f>HYPERLINK("http://ovidsp.ovid.com/ovidweb.cgi?T=JS&amp;NEWS=n&amp;CSC=Y&amp;PAGE=toc&amp;D=yrovft&amp;AN=00006223-000000000-00000","http://ovidsp.ovid.com/ovidweb.cgi?T=JS&amp;NEWS=n&amp;CSC=Y&amp;PAGE=toc&amp;D=yrovft&amp;AN=00006223-000000000-00000")</f>
        <v>http://ovidsp.ovid.com/ovidweb.cgi?T=JS&amp;NEWS=n&amp;CSC=Y&amp;PAGE=toc&amp;D=yrovft&amp;AN=00006223-000000000-00000</v>
      </c>
      <c r="N169" s="6" t="s">
        <v>1117</v>
      </c>
      <c r="O169" s="6" t="s">
        <v>835</v>
      </c>
      <c r="P169" s="6" t="b">
        <v>1</v>
      </c>
      <c r="Q169" s="8" t="s">
        <v>1256</v>
      </c>
    </row>
    <row r="170" spans="1:17" x14ac:dyDescent="0.25">
      <c r="A170" s="4" t="s">
        <v>1217</v>
      </c>
      <c r="B170" s="6" t="s">
        <v>1111</v>
      </c>
      <c r="C170" s="6" t="s">
        <v>1117</v>
      </c>
      <c r="D170" s="6" t="s">
        <v>256</v>
      </c>
      <c r="E170" s="5">
        <v>44137</v>
      </c>
      <c r="F170" s="6">
        <v>40</v>
      </c>
      <c r="G170" s="6">
        <v>1</v>
      </c>
      <c r="H170" s="6">
        <v>45</v>
      </c>
      <c r="I170" s="6">
        <v>11</v>
      </c>
      <c r="J170" s="6" t="s">
        <v>1078</v>
      </c>
      <c r="K170" s="6" t="s">
        <v>351</v>
      </c>
      <c r="L170" s="6" t="s">
        <v>1046</v>
      </c>
      <c r="M170" s="7" t="str">
        <f>HYPERLINK("http://ovidsp.ovid.com/ovidweb.cgi?T=JS&amp;NEWS=n&amp;CSC=Y&amp;PAGE=toc&amp;D=yrovft&amp;AN=00006205-000000000-00000","http://ovidsp.ovid.com/ovidweb.cgi?T=JS&amp;NEWS=n&amp;CSC=Y&amp;PAGE=toc&amp;D=yrovft&amp;AN=00006205-000000000-00000")</f>
        <v>http://ovidsp.ovid.com/ovidweb.cgi?T=JS&amp;NEWS=n&amp;CSC=Y&amp;PAGE=toc&amp;D=yrovft&amp;AN=00006205-000000000-00000</v>
      </c>
      <c r="N170" s="6" t="s">
        <v>1117</v>
      </c>
      <c r="O170" s="6" t="s">
        <v>422</v>
      </c>
      <c r="P170" s="6" t="b">
        <v>0</v>
      </c>
      <c r="Q170" s="8" t="s">
        <v>1117</v>
      </c>
    </row>
    <row r="171" spans="1:17" x14ac:dyDescent="0.25">
      <c r="A171" s="4" t="s">
        <v>283</v>
      </c>
      <c r="B171" s="6" t="s">
        <v>1384</v>
      </c>
      <c r="C171" s="6" t="s">
        <v>82</v>
      </c>
      <c r="D171" s="6" t="s">
        <v>256</v>
      </c>
      <c r="E171" s="5">
        <v>44137</v>
      </c>
      <c r="F171" s="6">
        <v>45</v>
      </c>
      <c r="G171" s="6">
        <v>1</v>
      </c>
      <c r="H171" s="6">
        <v>50</v>
      </c>
      <c r="I171" s="6">
        <v>10</v>
      </c>
      <c r="J171" s="6" t="s">
        <v>1189</v>
      </c>
      <c r="K171" s="6" t="s">
        <v>1349</v>
      </c>
      <c r="L171" s="6" t="s">
        <v>739</v>
      </c>
      <c r="M171" s="7" t="str">
        <f>HYPERLINK("http://ovidsp.ovid.com/ovidweb.cgi?T=JS&amp;NEWS=n&amp;CSC=Y&amp;PAGE=toc&amp;D=yrovft&amp;AN=00152193-000000000-00000","http://ovidsp.ovid.com/ovidweb.cgi?T=JS&amp;NEWS=n&amp;CSC=Y&amp;PAGE=toc&amp;D=yrovft&amp;AN=00152193-000000000-00000")</f>
        <v>http://ovidsp.ovid.com/ovidweb.cgi?T=JS&amp;NEWS=n&amp;CSC=Y&amp;PAGE=toc&amp;D=yrovft&amp;AN=00152193-000000000-00000</v>
      </c>
      <c r="N171" s="6" t="s">
        <v>1117</v>
      </c>
      <c r="O171" s="6" t="s">
        <v>1542</v>
      </c>
      <c r="P171" s="6" t="b">
        <v>1</v>
      </c>
      <c r="Q171" s="8" t="s">
        <v>1108</v>
      </c>
    </row>
    <row r="172" spans="1:17" x14ac:dyDescent="0.25">
      <c r="A172" s="4" t="s">
        <v>678</v>
      </c>
      <c r="B172" s="6" t="s">
        <v>745</v>
      </c>
      <c r="C172" s="6" t="s">
        <v>1117</v>
      </c>
      <c r="D172" s="6" t="s">
        <v>256</v>
      </c>
      <c r="E172" s="5">
        <v>44137</v>
      </c>
      <c r="F172" s="6">
        <v>39</v>
      </c>
      <c r="G172" s="6">
        <v>1</v>
      </c>
      <c r="H172" s="6">
        <v>44</v>
      </c>
      <c r="I172" s="6">
        <v>4</v>
      </c>
      <c r="J172" s="6" t="s">
        <v>486</v>
      </c>
      <c r="K172" s="6" t="s">
        <v>1671</v>
      </c>
      <c r="L172" s="6" t="s">
        <v>206</v>
      </c>
      <c r="M172" s="7" t="str">
        <f>HYPERLINK("http://ovidsp.ovid.com/ovidweb.cgi?T=JS&amp;NEWS=n&amp;CSC=Y&amp;PAGE=toc&amp;D=yrovft&amp;AN=00006216-000000000-00000","http://ovidsp.ovid.com/ovidweb.cgi?T=JS&amp;NEWS=n&amp;CSC=Y&amp;PAGE=toc&amp;D=yrovft&amp;AN=00006216-000000000-00000")</f>
        <v>http://ovidsp.ovid.com/ovidweb.cgi?T=JS&amp;NEWS=n&amp;CSC=Y&amp;PAGE=toc&amp;D=yrovft&amp;AN=00006216-000000000-00000</v>
      </c>
      <c r="N172" s="6" t="s">
        <v>1117</v>
      </c>
      <c r="O172" s="6" t="s">
        <v>419</v>
      </c>
      <c r="P172" s="6" t="b">
        <v>1</v>
      </c>
      <c r="Q172" s="8" t="s">
        <v>869</v>
      </c>
    </row>
    <row r="173" spans="1:17" x14ac:dyDescent="0.25">
      <c r="A173" s="4" t="s">
        <v>1333</v>
      </c>
      <c r="B173" s="6" t="s">
        <v>1750</v>
      </c>
      <c r="C173" s="6" t="s">
        <v>344</v>
      </c>
      <c r="D173" s="6" t="s">
        <v>256</v>
      </c>
      <c r="E173" s="5">
        <v>44137</v>
      </c>
      <c r="F173" s="6">
        <v>10</v>
      </c>
      <c r="G173" s="6">
        <v>1</v>
      </c>
      <c r="H173" s="6">
        <v>15</v>
      </c>
      <c r="I173" s="6">
        <v>5</v>
      </c>
      <c r="J173" s="6" t="s">
        <v>838</v>
      </c>
      <c r="K173" s="6" t="s">
        <v>1349</v>
      </c>
      <c r="L173" s="6" t="s">
        <v>553</v>
      </c>
      <c r="M173" s="7" t="str">
        <f>HYPERLINK("http://ovidsp.ovid.com/ovidweb.cgi?T=JS&amp;NEWS=n&amp;CSC=Y&amp;PAGE=toc&amp;D=yrovft&amp;AN=01244666-000000000-00000","http://ovidsp.ovid.com/ovidweb.cgi?T=JS&amp;NEWS=n&amp;CSC=Y&amp;PAGE=toc&amp;D=yrovft&amp;AN=01244666-000000000-00000")</f>
        <v>http://ovidsp.ovid.com/ovidweb.cgi?T=JS&amp;NEWS=n&amp;CSC=Y&amp;PAGE=toc&amp;D=yrovft&amp;AN=01244666-000000000-00000</v>
      </c>
      <c r="N173" s="6" t="s">
        <v>1117</v>
      </c>
      <c r="O173" s="6" t="s">
        <v>1662</v>
      </c>
      <c r="P173" s="6" t="b">
        <v>0</v>
      </c>
      <c r="Q173" s="8" t="s">
        <v>1117</v>
      </c>
    </row>
    <row r="174" spans="1:17" x14ac:dyDescent="0.25">
      <c r="A174" s="4" t="s">
        <v>514</v>
      </c>
      <c r="B174" s="6" t="s">
        <v>710</v>
      </c>
      <c r="C174" s="6" t="s">
        <v>1117</v>
      </c>
      <c r="D174" s="6" t="s">
        <v>256</v>
      </c>
      <c r="E174" s="5">
        <v>44137</v>
      </c>
      <c r="F174" s="6">
        <v>13</v>
      </c>
      <c r="G174" s="6">
        <v>1</v>
      </c>
      <c r="H174" s="6">
        <v>18</v>
      </c>
      <c r="I174" s="6">
        <v>6</v>
      </c>
      <c r="J174" s="6" t="s">
        <v>1635</v>
      </c>
      <c r="K174" s="6" t="s">
        <v>1528</v>
      </c>
      <c r="L174" s="6" t="s">
        <v>270</v>
      </c>
      <c r="M174" s="7" t="str">
        <f>HYPERLINK("http://ovidsp.ovid.com/ovidweb.cgi?T=JS&amp;NEWS=n&amp;CSC=Y&amp;PAGE=toc&amp;D=yrovft&amp;AN=00152258-000000000-00000","http://ovidsp.ovid.com/ovidweb.cgi?T=JS&amp;NEWS=n&amp;CSC=Y&amp;PAGE=toc&amp;D=yrovft&amp;AN=00152258-000000000-00000")</f>
        <v>http://ovidsp.ovid.com/ovidweb.cgi?T=JS&amp;NEWS=n&amp;CSC=Y&amp;PAGE=toc&amp;D=yrovft&amp;AN=00152258-000000000-00000</v>
      </c>
      <c r="N174" s="6" t="s">
        <v>1117</v>
      </c>
      <c r="O174" s="6" t="s">
        <v>825</v>
      </c>
      <c r="P174" s="6" t="b">
        <v>0</v>
      </c>
      <c r="Q174" s="8" t="s">
        <v>1117</v>
      </c>
    </row>
    <row r="175" spans="1:17" x14ac:dyDescent="0.25">
      <c r="A175" s="4" t="s">
        <v>128</v>
      </c>
      <c r="B175" s="6" t="s">
        <v>179</v>
      </c>
      <c r="C175" s="6" t="s">
        <v>313</v>
      </c>
      <c r="D175" s="6" t="s">
        <v>256</v>
      </c>
      <c r="E175" s="5">
        <v>44137</v>
      </c>
      <c r="F175" s="6">
        <v>46</v>
      </c>
      <c r="G175" s="6">
        <v>1</v>
      </c>
      <c r="H175" s="6">
        <v>51</v>
      </c>
      <c r="I175" s="6">
        <v>10</v>
      </c>
      <c r="J175" s="6" t="s">
        <v>1189</v>
      </c>
      <c r="K175" s="6" t="s">
        <v>1349</v>
      </c>
      <c r="L175" s="6" t="s">
        <v>739</v>
      </c>
      <c r="M175" s="7" t="str">
        <f>HYPERLINK("http://ovidsp.ovid.com/ovidweb.cgi?T=JS&amp;NEWS=n&amp;CSC=Y&amp;PAGE=toc&amp;D=yrovft&amp;AN=00006247-000000000-00000","http://ovidsp.ovid.com/ovidweb.cgi?T=JS&amp;NEWS=n&amp;CSC=Y&amp;PAGE=toc&amp;D=yrovft&amp;AN=00006247-000000000-00000")</f>
        <v>http://ovidsp.ovid.com/ovidweb.cgi?T=JS&amp;NEWS=n&amp;CSC=Y&amp;PAGE=toc&amp;D=yrovft&amp;AN=00006247-000000000-00000</v>
      </c>
      <c r="N175" s="6" t="s">
        <v>1117</v>
      </c>
      <c r="O175" s="6" t="s">
        <v>783</v>
      </c>
      <c r="P175" s="6" t="b">
        <v>0</v>
      </c>
      <c r="Q175" s="8" t="s">
        <v>1117</v>
      </c>
    </row>
    <row r="176" spans="1:17" x14ac:dyDescent="0.25">
      <c r="A176" s="4" t="s">
        <v>861</v>
      </c>
      <c r="B176" s="6" t="s">
        <v>293</v>
      </c>
      <c r="C176" s="6" t="s">
        <v>1117</v>
      </c>
      <c r="D176" s="6" t="s">
        <v>256</v>
      </c>
      <c r="E176" s="5">
        <v>44137</v>
      </c>
      <c r="F176" s="6">
        <v>64</v>
      </c>
      <c r="G176" s="6">
        <v>1</v>
      </c>
      <c r="H176" s="6">
        <v>69</v>
      </c>
      <c r="I176" s="6" t="s">
        <v>1391</v>
      </c>
      <c r="J176" s="6" t="s">
        <v>1616</v>
      </c>
      <c r="K176" s="6" t="s">
        <v>1528</v>
      </c>
      <c r="L176" s="6" t="s">
        <v>452</v>
      </c>
      <c r="M176" s="7" t="str">
        <f>HYPERLINK("http://ovidsp.ovid.com/ovidweb.cgi?T=JS&amp;NEWS=n&amp;CSC=Y&amp;PAGE=toc&amp;D=yrovft&amp;AN=00006199-000000000-00000","http://ovidsp.ovid.com/ovidweb.cgi?T=JS&amp;NEWS=n&amp;CSC=Y&amp;PAGE=toc&amp;D=yrovft&amp;AN=00006199-000000000-00000")</f>
        <v>http://ovidsp.ovid.com/ovidweb.cgi?T=JS&amp;NEWS=n&amp;CSC=Y&amp;PAGE=toc&amp;D=yrovft&amp;AN=00006199-000000000-00000</v>
      </c>
      <c r="N176" s="6" t="s">
        <v>1117</v>
      </c>
      <c r="O176" s="6" t="s">
        <v>417</v>
      </c>
      <c r="P176" s="6" t="b">
        <v>1</v>
      </c>
      <c r="Q176" s="8" t="s">
        <v>695</v>
      </c>
    </row>
    <row r="177" spans="1:17" x14ac:dyDescent="0.25">
      <c r="A177" s="4" t="s">
        <v>16</v>
      </c>
      <c r="B177" s="6" t="s">
        <v>1479</v>
      </c>
      <c r="C177" s="6" t="s">
        <v>1117</v>
      </c>
      <c r="D177" s="6" t="s">
        <v>256</v>
      </c>
      <c r="E177" s="5">
        <v>44137</v>
      </c>
      <c r="F177" s="6">
        <v>50</v>
      </c>
      <c r="G177" s="6">
        <v>1</v>
      </c>
      <c r="H177" s="6">
        <v>55</v>
      </c>
      <c r="I177" s="6">
        <v>5</v>
      </c>
      <c r="J177" s="6" t="s">
        <v>1616</v>
      </c>
      <c r="K177" s="6" t="s">
        <v>1528</v>
      </c>
      <c r="L177" s="6" t="s">
        <v>452</v>
      </c>
      <c r="M177" s="7" t="str">
        <f>HYPERLINK("http://ovidsp.ovid.com/ovidweb.cgi?T=JS&amp;NEWS=n&amp;CSC=Y&amp;PAGE=toc&amp;D=yrovft&amp;AN=00017285-000000000-00000","http://ovidsp.ovid.com/ovidweb.cgi?T=JS&amp;NEWS=n&amp;CSC=Y&amp;PAGE=toc&amp;D=yrovft&amp;AN=00017285-000000000-00000")</f>
        <v>http://ovidsp.ovid.com/ovidweb.cgi?T=JS&amp;NEWS=n&amp;CSC=Y&amp;PAGE=toc&amp;D=yrovft&amp;AN=00017285-000000000-00000</v>
      </c>
      <c r="N177" s="6" t="s">
        <v>1117</v>
      </c>
      <c r="O177" s="6" t="s">
        <v>1171</v>
      </c>
      <c r="P177" s="6" t="b">
        <v>0</v>
      </c>
      <c r="Q177" s="8" t="s">
        <v>1117</v>
      </c>
    </row>
    <row r="178" spans="1:17" x14ac:dyDescent="0.25">
      <c r="A178" s="4" t="s">
        <v>1</v>
      </c>
      <c r="B178" s="6" t="s">
        <v>1697</v>
      </c>
      <c r="C178" s="6" t="s">
        <v>1250</v>
      </c>
      <c r="D178" s="6" t="s">
        <v>256</v>
      </c>
      <c r="E178" s="5">
        <v>44137</v>
      </c>
      <c r="F178" s="6">
        <v>35</v>
      </c>
      <c r="G178" s="6">
        <v>1</v>
      </c>
      <c r="H178" s="6">
        <v>40</v>
      </c>
      <c r="I178" s="6">
        <v>3</v>
      </c>
      <c r="J178" s="6" t="s">
        <v>1231</v>
      </c>
      <c r="K178" s="6" t="s">
        <v>365</v>
      </c>
      <c r="L178" s="6" t="s">
        <v>553</v>
      </c>
      <c r="M178" s="7" t="str">
        <f>HYPERLINK("http://ovidsp.ovid.com/ovidweb.cgi?T=JS&amp;NEWS=n&amp;CSC=Y&amp;PAGE=toc&amp;D=yrovft&amp;AN=00132582-000000000-00000","http://ovidsp.ovid.com/ovidweb.cgi?T=JS&amp;NEWS=n&amp;CSC=Y&amp;PAGE=toc&amp;D=yrovft&amp;AN=00132582-000000000-00000")</f>
        <v>http://ovidsp.ovid.com/ovidweb.cgi?T=JS&amp;NEWS=n&amp;CSC=Y&amp;PAGE=toc&amp;D=yrovft&amp;AN=00132582-000000000-00000</v>
      </c>
      <c r="N178" s="6" t="s">
        <v>1117</v>
      </c>
      <c r="O178" s="6" t="s">
        <v>676</v>
      </c>
      <c r="P178" s="6" t="b">
        <v>0</v>
      </c>
      <c r="Q178" s="8" t="s">
        <v>1117</v>
      </c>
    </row>
    <row r="179" spans="1:17" x14ac:dyDescent="0.25">
      <c r="A179" s="4" t="s">
        <v>1663</v>
      </c>
      <c r="B179" s="6" t="s">
        <v>921</v>
      </c>
      <c r="C179" s="6" t="s">
        <v>815</v>
      </c>
      <c r="D179" s="6" t="s">
        <v>256</v>
      </c>
      <c r="E179" s="5">
        <v>44137</v>
      </c>
      <c r="F179" s="6">
        <v>70</v>
      </c>
      <c r="G179" s="6">
        <v>1</v>
      </c>
      <c r="H179" s="6">
        <v>75</v>
      </c>
      <c r="I179" s="6">
        <v>10</v>
      </c>
      <c r="J179" s="6" t="s">
        <v>1189</v>
      </c>
      <c r="K179" s="6" t="s">
        <v>1349</v>
      </c>
      <c r="L179" s="6" t="s">
        <v>739</v>
      </c>
      <c r="M179" s="7" t="str">
        <f>HYPERLINK("http://ovidsp.ovid.com/ovidweb.cgi?T=JS&amp;NEWS=n&amp;CSC=Y&amp;PAGE=toc&amp;D=yrovft&amp;AN=00006254-000000000-00000","http://ovidsp.ovid.com/ovidweb.cgi?T=JS&amp;NEWS=n&amp;CSC=Y&amp;PAGE=toc&amp;D=yrovft&amp;AN=00006254-000000000-00000")</f>
        <v>http://ovidsp.ovid.com/ovidweb.cgi?T=JS&amp;NEWS=n&amp;CSC=Y&amp;PAGE=toc&amp;D=yrovft&amp;AN=00006254-000000000-00000</v>
      </c>
      <c r="N179" s="6" t="s">
        <v>1117</v>
      </c>
      <c r="O179" s="6" t="s">
        <v>155</v>
      </c>
      <c r="P179" s="6" t="b">
        <v>0</v>
      </c>
      <c r="Q179" s="8" t="s">
        <v>1117</v>
      </c>
    </row>
    <row r="180" spans="1:17" x14ac:dyDescent="0.25">
      <c r="A180" s="4" t="s">
        <v>605</v>
      </c>
      <c r="B180" s="6" t="s">
        <v>316</v>
      </c>
      <c r="C180" s="6" t="s">
        <v>1117</v>
      </c>
      <c r="D180" s="6" t="s">
        <v>256</v>
      </c>
      <c r="E180" s="5">
        <v>44137</v>
      </c>
      <c r="F180" s="6">
        <v>125</v>
      </c>
      <c r="G180" s="6">
        <v>1</v>
      </c>
      <c r="H180" s="6">
        <v>136</v>
      </c>
      <c r="I180" s="6">
        <v>5</v>
      </c>
      <c r="J180" s="6" t="s">
        <v>565</v>
      </c>
      <c r="K180" s="6" t="s">
        <v>1349</v>
      </c>
      <c r="L180" s="6" t="s">
        <v>1046</v>
      </c>
      <c r="M180" s="7" t="str">
        <f>HYPERLINK("http://ovidsp.ovid.com/ovidweb.cgi?T=JS&amp;NEWS=n&amp;CSC=Y&amp;PAGE=toc&amp;D=yrovft&amp;AN=00006250-000000000-00000","http://ovidsp.ovid.com/ovidweb.cgi?T=JS&amp;NEWS=n&amp;CSC=Y&amp;PAGE=toc&amp;D=yrovft&amp;AN=00006250-000000000-00000")</f>
        <v>http://ovidsp.ovid.com/ovidweb.cgi?T=JS&amp;NEWS=n&amp;CSC=Y&amp;PAGE=toc&amp;D=yrovft&amp;AN=00006250-000000000-00000</v>
      </c>
      <c r="N180" s="6" t="s">
        <v>1117</v>
      </c>
      <c r="O180" s="6" t="s">
        <v>1590</v>
      </c>
      <c r="P180" s="6" t="b">
        <v>0</v>
      </c>
      <c r="Q180" s="8" t="s">
        <v>1117</v>
      </c>
    </row>
    <row r="181" spans="1:17" x14ac:dyDescent="0.25">
      <c r="A181" s="4" t="s">
        <v>805</v>
      </c>
      <c r="B181" s="6" t="s">
        <v>303</v>
      </c>
      <c r="C181" s="6" t="s">
        <v>382</v>
      </c>
      <c r="D181" s="6" t="s">
        <v>256</v>
      </c>
      <c r="E181" s="5">
        <v>44137</v>
      </c>
      <c r="F181" s="6">
        <v>37</v>
      </c>
      <c r="G181" s="6">
        <v>1</v>
      </c>
      <c r="H181" s="6">
        <v>42</v>
      </c>
      <c r="I181" s="6">
        <v>20</v>
      </c>
      <c r="J181" s="6" t="s">
        <v>1029</v>
      </c>
      <c r="K181" s="6" t="s">
        <v>680</v>
      </c>
      <c r="L181" s="6" t="s">
        <v>990</v>
      </c>
      <c r="M181" s="7" t="str">
        <f>HYPERLINK("http://ovidsp.ovid.com/ovidweb.cgi?T=JS&amp;NEWS=n&amp;CSC=Y&amp;PAGE=toc&amp;D=yrovft&amp;AN=00130989-000000000-00000","http://ovidsp.ovid.com/ovidweb.cgi?T=JS&amp;NEWS=n&amp;CSC=Y&amp;PAGE=toc&amp;D=yrovft&amp;AN=00130989-000000000-00000")</f>
        <v>http://ovidsp.ovid.com/ovidweb.cgi?T=JS&amp;NEWS=n&amp;CSC=Y&amp;PAGE=toc&amp;D=yrovft&amp;AN=00130989-000000000-00000</v>
      </c>
      <c r="N181" s="6" t="s">
        <v>1117</v>
      </c>
      <c r="O181" s="6" t="s">
        <v>250</v>
      </c>
      <c r="P181" s="6" t="b">
        <v>0</v>
      </c>
      <c r="Q181" s="8" t="s">
        <v>1117</v>
      </c>
    </row>
    <row r="182" spans="1:17" x14ac:dyDescent="0.25">
      <c r="A182" s="4" t="s">
        <v>1599</v>
      </c>
      <c r="B182" s="6" t="s">
        <v>791</v>
      </c>
      <c r="C182" s="6" t="s">
        <v>1117</v>
      </c>
      <c r="D182" s="6" t="s">
        <v>256</v>
      </c>
      <c r="E182" s="5">
        <v>44137</v>
      </c>
      <c r="F182" s="6">
        <v>1</v>
      </c>
      <c r="G182" s="6">
        <v>1</v>
      </c>
      <c r="H182" s="6">
        <v>9</v>
      </c>
      <c r="I182" s="6">
        <v>6</v>
      </c>
      <c r="J182" s="6" t="s">
        <v>396</v>
      </c>
      <c r="K182" s="6" t="s">
        <v>942</v>
      </c>
      <c r="L182" s="6" t="s">
        <v>1313</v>
      </c>
      <c r="M182" s="7" t="str">
        <f>HYPERLINK("http://ovidsp.ovid.com/ovidweb.cgi?T=JS&amp;NEWS=n&amp;CSC=Y&amp;PAGE=toc&amp;D=yrovft&amp;AN=01271211-000000000-00000","http://ovidsp.ovid.com/ovidweb.cgi?T=JS&amp;NEWS=n&amp;CSC=Y&amp;PAGE=toc&amp;D=yrovft&amp;AN=01271211-000000000-00000")</f>
        <v>http://ovidsp.ovid.com/ovidweb.cgi?T=JS&amp;NEWS=n&amp;CSC=Y&amp;PAGE=toc&amp;D=yrovft&amp;AN=01271211-000000000-00000</v>
      </c>
      <c r="N182" s="6" t="s">
        <v>1117</v>
      </c>
      <c r="O182" s="6" t="s">
        <v>1334</v>
      </c>
      <c r="P182" s="6" t="b">
        <v>0</v>
      </c>
      <c r="Q182" s="8" t="s">
        <v>1117</v>
      </c>
    </row>
    <row r="183" spans="1:17" x14ac:dyDescent="0.25">
      <c r="A183" s="4" t="s">
        <v>1020</v>
      </c>
      <c r="B183" s="6" t="s">
        <v>277</v>
      </c>
      <c r="C183" s="6" t="s">
        <v>103</v>
      </c>
      <c r="D183" s="6" t="s">
        <v>256</v>
      </c>
      <c r="E183" s="5">
        <v>44137</v>
      </c>
      <c r="F183" s="6">
        <v>1</v>
      </c>
      <c r="G183" s="6">
        <v>1</v>
      </c>
      <c r="H183" s="6">
        <v>3</v>
      </c>
      <c r="I183" s="6">
        <v>4</v>
      </c>
      <c r="J183" s="6" t="s">
        <v>1683</v>
      </c>
      <c r="K183" s="6" t="s">
        <v>1708</v>
      </c>
      <c r="L183" s="6" t="s">
        <v>1393</v>
      </c>
      <c r="M183" s="7" t="str">
        <f>HYPERLINK("http://ovidsp.ovid.com/ovidweb.cgi?T=JS&amp;NEWS=n&amp;CSC=Y&amp;PAGE=toc&amp;D=yrovft&amp;AN=02039743-000000000-00000","http://ovidsp.ovid.com/ovidweb.cgi?T=JS&amp;NEWS=n&amp;CSC=Y&amp;PAGE=toc&amp;D=yrovft&amp;AN=02039743-000000000-00000")</f>
        <v>http://ovidsp.ovid.com/ovidweb.cgi?T=JS&amp;NEWS=n&amp;CSC=Y&amp;PAGE=toc&amp;D=yrovft&amp;AN=02039743-000000000-00000</v>
      </c>
      <c r="N183" s="6" t="s">
        <v>1117</v>
      </c>
      <c r="O183" s="6" t="s">
        <v>1013</v>
      </c>
      <c r="P183" s="6" t="b">
        <v>0</v>
      </c>
      <c r="Q183" s="8" t="s">
        <v>1117</v>
      </c>
    </row>
    <row r="184" spans="1:17" x14ac:dyDescent="0.25">
      <c r="A184" s="4" t="s">
        <v>1477</v>
      </c>
      <c r="B184" s="6" t="s">
        <v>1501</v>
      </c>
      <c r="C184" s="6" t="s">
        <v>614</v>
      </c>
      <c r="D184" s="6" t="s">
        <v>256</v>
      </c>
      <c r="E184" s="5">
        <v>44137</v>
      </c>
      <c r="F184" s="6">
        <v>156</v>
      </c>
      <c r="G184" s="6">
        <v>1</v>
      </c>
      <c r="H184" s="6">
        <v>161</v>
      </c>
      <c r="I184" s="6">
        <v>11</v>
      </c>
      <c r="J184" s="6" t="s">
        <v>565</v>
      </c>
      <c r="K184" s="6" t="s">
        <v>1349</v>
      </c>
      <c r="L184" s="6" t="s">
        <v>1046</v>
      </c>
      <c r="M184" s="7" t="str">
        <f>HYPERLINK("http://ovidsp.ovid.com/ovidweb.cgi?T=JS&amp;NEWS=n&amp;CSC=Y&amp;PAGE=toc&amp;D=yrovft&amp;AN=00006396-000000000-00000","http://ovidsp.ovid.com/ovidweb.cgi?T=JS&amp;NEWS=n&amp;CSC=Y&amp;PAGE=toc&amp;D=yrovft&amp;AN=00006396-000000000-00000")</f>
        <v>http://ovidsp.ovid.com/ovidweb.cgi?T=JS&amp;NEWS=n&amp;CSC=Y&amp;PAGE=toc&amp;D=yrovft&amp;AN=00006396-000000000-00000</v>
      </c>
      <c r="N184" s="6" t="s">
        <v>1117</v>
      </c>
      <c r="O184" s="6" t="s">
        <v>318</v>
      </c>
      <c r="P184" s="6" t="b">
        <v>1</v>
      </c>
      <c r="Q184" s="8" t="s">
        <v>39</v>
      </c>
    </row>
    <row r="185" spans="1:17" x14ac:dyDescent="0.25">
      <c r="A185" s="4" t="s">
        <v>1356</v>
      </c>
      <c r="B185" s="6" t="s">
        <v>1591</v>
      </c>
      <c r="C185" s="6" t="s">
        <v>614</v>
      </c>
      <c r="D185" s="6" t="s">
        <v>897</v>
      </c>
      <c r="E185" s="5">
        <v>44137</v>
      </c>
      <c r="F185" s="6">
        <v>1</v>
      </c>
      <c r="G185" s="6">
        <v>1</v>
      </c>
      <c r="H185" s="6">
        <v>5</v>
      </c>
      <c r="I185" s="6">
        <v>6</v>
      </c>
      <c r="J185" s="6" t="s">
        <v>1364</v>
      </c>
      <c r="K185" s="6" t="s">
        <v>218</v>
      </c>
      <c r="L185" s="6" t="s">
        <v>270</v>
      </c>
      <c r="M185" s="7" t="str">
        <f>HYPERLINK("http://ovidsp.ovid.com/ovidweb.cgi?T=JS&amp;NEWS=n&amp;CSC=Y&amp;PAGE=toc&amp;D=yrovft&amp;AN=01938936-000000000-00000","http://ovidsp.ovid.com/ovidweb.cgi?T=JS&amp;NEWS=n&amp;CSC=Y&amp;PAGE=toc&amp;D=yrovft&amp;AN=01938936-000000000-00000")</f>
        <v>http://ovidsp.ovid.com/ovidweb.cgi?T=JS&amp;NEWS=n&amp;CSC=Y&amp;PAGE=toc&amp;D=yrovft&amp;AN=01938936-000000000-00000</v>
      </c>
      <c r="N185" s="6" t="s">
        <v>1117</v>
      </c>
      <c r="O185" s="6" t="s">
        <v>1066</v>
      </c>
      <c r="P185" s="6" t="b">
        <v>0</v>
      </c>
      <c r="Q185" s="8" t="s">
        <v>1117</v>
      </c>
    </row>
    <row r="186" spans="1:17" x14ac:dyDescent="0.25">
      <c r="A186" s="4" t="s">
        <v>1513</v>
      </c>
      <c r="B186" s="6" t="s">
        <v>1223</v>
      </c>
      <c r="C186" s="6" t="s">
        <v>538</v>
      </c>
      <c r="D186" s="6" t="s">
        <v>256</v>
      </c>
      <c r="E186" s="5">
        <v>44137</v>
      </c>
      <c r="F186" s="6">
        <v>44</v>
      </c>
      <c r="G186" s="6">
        <v>1</v>
      </c>
      <c r="H186" s="6">
        <v>49</v>
      </c>
      <c r="I186" s="6">
        <v>9</v>
      </c>
      <c r="J186" s="6" t="s">
        <v>1189</v>
      </c>
      <c r="K186" s="6" t="s">
        <v>1349</v>
      </c>
      <c r="L186" s="6" t="s">
        <v>739</v>
      </c>
      <c r="M186" s="7" t="str">
        <f>HYPERLINK("http://ovidsp.ovid.com/ovidweb.cgi?T=JS&amp;NEWS=n&amp;CSC=Y&amp;PAGE=toc&amp;D=yrovft&amp;AN=00006676-000000000-00000","http://ovidsp.ovid.com/ovidweb.cgi?T=JS&amp;NEWS=n&amp;CSC=Y&amp;PAGE=toc&amp;D=yrovft&amp;AN=00006676-000000000-00000")</f>
        <v>http://ovidsp.ovid.com/ovidweb.cgi?T=JS&amp;NEWS=n&amp;CSC=Y&amp;PAGE=toc&amp;D=yrovft&amp;AN=00006676-000000000-00000</v>
      </c>
      <c r="N186" s="6" t="s">
        <v>1117</v>
      </c>
      <c r="O186" s="6" t="s">
        <v>665</v>
      </c>
      <c r="P186" s="6" t="b">
        <v>1</v>
      </c>
      <c r="Q186" s="8" t="s">
        <v>1749</v>
      </c>
    </row>
    <row r="187" spans="1:17" x14ac:dyDescent="0.25">
      <c r="A187" s="4" t="s">
        <v>384</v>
      </c>
      <c r="B187" s="6" t="s">
        <v>497</v>
      </c>
      <c r="C187" s="6" t="s">
        <v>1609</v>
      </c>
      <c r="D187" s="6" t="s">
        <v>256</v>
      </c>
      <c r="E187" s="5">
        <v>44137</v>
      </c>
      <c r="F187" s="6">
        <v>20</v>
      </c>
      <c r="G187" s="6">
        <v>1</v>
      </c>
      <c r="H187" s="6">
        <v>20</v>
      </c>
      <c r="I187" s="6">
        <v>6</v>
      </c>
      <c r="J187" s="6" t="s">
        <v>485</v>
      </c>
      <c r="K187" s="6" t="s">
        <v>1528</v>
      </c>
      <c r="L187" s="6" t="s">
        <v>914</v>
      </c>
      <c r="M187" s="7" t="str">
        <f>HYPERLINK("http://ovidsp.ovid.com/ovidweb.cgi?T=JS&amp;NEWS=n&amp;CSC=Y&amp;PAGE=toc&amp;D=yrovft&amp;AN=00132583-000000000-00000","http://ovidsp.ovid.com/ovidweb.cgi?T=JS&amp;NEWS=n&amp;CSC=Y&amp;PAGE=toc&amp;D=yrovft&amp;AN=00132583-000000000-00000")</f>
        <v>http://ovidsp.ovid.com/ovidweb.cgi?T=JS&amp;NEWS=n&amp;CSC=Y&amp;PAGE=toc&amp;D=yrovft&amp;AN=00132583-000000000-00000</v>
      </c>
      <c r="N187" s="6" t="s">
        <v>1117</v>
      </c>
      <c r="O187" s="6" t="s">
        <v>1030</v>
      </c>
      <c r="P187" s="6" t="b">
        <v>0</v>
      </c>
      <c r="Q187" s="8" t="s">
        <v>1117</v>
      </c>
    </row>
    <row r="188" spans="1:17" x14ac:dyDescent="0.25">
      <c r="A188" s="4" t="s">
        <v>1073</v>
      </c>
      <c r="B188" s="6" t="s">
        <v>1353</v>
      </c>
      <c r="C188" s="6" t="s">
        <v>1283</v>
      </c>
      <c r="D188" s="6" t="s">
        <v>256</v>
      </c>
      <c r="E188" s="5">
        <v>44137</v>
      </c>
      <c r="F188" s="6">
        <v>31</v>
      </c>
      <c r="G188" s="6">
        <v>1</v>
      </c>
      <c r="H188" s="6">
        <v>36</v>
      </c>
      <c r="I188" s="6">
        <v>10</v>
      </c>
      <c r="J188" s="6" t="s">
        <v>1189</v>
      </c>
      <c r="K188" s="6" t="s">
        <v>1349</v>
      </c>
      <c r="L188" s="6" t="s">
        <v>739</v>
      </c>
      <c r="M188" s="7" t="str">
        <f>HYPERLINK("http://ovidsp.ovid.com/ovidweb.cgi?T=JS&amp;NEWS=n&amp;CSC=Y&amp;PAGE=toc&amp;D=yrovft&amp;AN=00006565-000000000-00000","http://ovidsp.ovid.com/ovidweb.cgi?T=JS&amp;NEWS=n&amp;CSC=Y&amp;PAGE=toc&amp;D=yrovft&amp;AN=00006565-000000000-00000")</f>
        <v>http://ovidsp.ovid.com/ovidweb.cgi?T=JS&amp;NEWS=n&amp;CSC=Y&amp;PAGE=toc&amp;D=yrovft&amp;AN=00006565-000000000-00000</v>
      </c>
      <c r="N188" s="6" t="s">
        <v>1117</v>
      </c>
      <c r="O188" s="6" t="s">
        <v>320</v>
      </c>
      <c r="P188" s="6" t="b">
        <v>1</v>
      </c>
      <c r="Q188" s="8" t="s">
        <v>569</v>
      </c>
    </row>
    <row r="189" spans="1:17" x14ac:dyDescent="0.25">
      <c r="A189" s="4" t="s">
        <v>887</v>
      </c>
      <c r="B189" s="6" t="s">
        <v>1723</v>
      </c>
      <c r="C189" s="6" t="s">
        <v>1654</v>
      </c>
      <c r="D189" s="6" t="s">
        <v>256</v>
      </c>
      <c r="E189" s="5">
        <v>44137</v>
      </c>
      <c r="F189" s="6">
        <v>34</v>
      </c>
      <c r="G189" s="6">
        <v>1</v>
      </c>
      <c r="H189" s="6">
        <v>39</v>
      </c>
      <c r="I189" s="6">
        <v>11</v>
      </c>
      <c r="J189" s="6" t="s">
        <v>565</v>
      </c>
      <c r="K189" s="6" t="s">
        <v>1349</v>
      </c>
      <c r="L189" s="6" t="s">
        <v>1046</v>
      </c>
      <c r="M189" s="7" t="str">
        <f>HYPERLINK("http://ovidsp.ovid.com/ovidweb.cgi?T=JS&amp;NEWS=n&amp;CSC=Y&amp;PAGE=toc&amp;D=yrovft&amp;AN=00006454-000000000-00000","http://ovidsp.ovid.com/ovidweb.cgi?T=JS&amp;NEWS=n&amp;CSC=Y&amp;PAGE=toc&amp;D=yrovft&amp;AN=00006454-000000000-00000")</f>
        <v>http://ovidsp.ovid.com/ovidweb.cgi?T=JS&amp;NEWS=n&amp;CSC=Y&amp;PAGE=toc&amp;D=yrovft&amp;AN=00006454-000000000-00000</v>
      </c>
      <c r="N189" s="6" t="s">
        <v>1117</v>
      </c>
      <c r="O189" s="6" t="s">
        <v>1115</v>
      </c>
      <c r="P189" s="6" t="b">
        <v>1</v>
      </c>
      <c r="Q189" s="8" t="s">
        <v>1150</v>
      </c>
    </row>
    <row r="190" spans="1:17" x14ac:dyDescent="0.25">
      <c r="A190" s="4" t="s">
        <v>1661</v>
      </c>
      <c r="B190" s="6" t="s">
        <v>682</v>
      </c>
      <c r="C190" s="6" t="s">
        <v>671</v>
      </c>
      <c r="D190" s="6" t="s">
        <v>256</v>
      </c>
      <c r="E190" s="5">
        <v>44137</v>
      </c>
      <c r="F190" s="6">
        <v>25</v>
      </c>
      <c r="G190" s="6">
        <v>2</v>
      </c>
      <c r="H190" s="6">
        <v>30</v>
      </c>
      <c r="I190" s="6">
        <v>9</v>
      </c>
      <c r="J190" s="6" t="s">
        <v>1135</v>
      </c>
      <c r="K190" s="6" t="s">
        <v>210</v>
      </c>
      <c r="L190" s="6" t="s">
        <v>1393</v>
      </c>
      <c r="M190" s="7" t="str">
        <f>HYPERLINK("http://ovidsp.ovid.com/ovidweb.cgi?T=JS&amp;NEWS=n&amp;CSC=Y&amp;PAGE=toc&amp;D=yrovft&amp;AN=01213011-000000000-00000","http://ovidsp.ovid.com/ovidweb.cgi?T=JS&amp;NEWS=n&amp;CSC=Y&amp;PAGE=toc&amp;D=yrovft&amp;AN=01213011-000000000-00000")</f>
        <v>http://ovidsp.ovid.com/ovidweb.cgi?T=JS&amp;NEWS=n&amp;CSC=Y&amp;PAGE=toc&amp;D=yrovft&amp;AN=01213011-000000000-00000</v>
      </c>
      <c r="N190" s="6" t="s">
        <v>1117</v>
      </c>
      <c r="O190" s="6" t="s">
        <v>814</v>
      </c>
      <c r="P190" s="6" t="b">
        <v>1</v>
      </c>
      <c r="Q190" s="8" t="s">
        <v>86</v>
      </c>
    </row>
    <row r="191" spans="1:17" x14ac:dyDescent="0.25">
      <c r="A191" s="4" t="s">
        <v>1239</v>
      </c>
      <c r="B191" s="6" t="s">
        <v>1715</v>
      </c>
      <c r="C191" s="6" t="s">
        <v>81</v>
      </c>
      <c r="D191" s="6" t="s">
        <v>256</v>
      </c>
      <c r="E191" s="5">
        <v>44137</v>
      </c>
      <c r="F191" s="6">
        <v>135</v>
      </c>
      <c r="G191" s="6">
        <v>1</v>
      </c>
      <c r="H191" s="6">
        <v>146</v>
      </c>
      <c r="I191" s="6">
        <v>4</v>
      </c>
      <c r="J191" s="6" t="s">
        <v>1189</v>
      </c>
      <c r="K191" s="6" t="s">
        <v>1349</v>
      </c>
      <c r="L191" s="6" t="s">
        <v>739</v>
      </c>
      <c r="M191" s="7" t="str">
        <f>HYPERLINK("http://ovidsp.ovid.com/ovidweb.cgi?T=JS&amp;NEWS=n&amp;CSC=Y&amp;PAGE=toc&amp;D=yrovft&amp;AN=00006534-000000000-00000","http://ovidsp.ovid.com/ovidweb.cgi?T=JS&amp;NEWS=n&amp;CSC=Y&amp;PAGE=toc&amp;D=yrovft&amp;AN=00006534-000000000-00000")</f>
        <v>http://ovidsp.ovid.com/ovidweb.cgi?T=JS&amp;NEWS=n&amp;CSC=Y&amp;PAGE=toc&amp;D=yrovft&amp;AN=00006534-000000000-00000</v>
      </c>
      <c r="N191" s="6" t="s">
        <v>1117</v>
      </c>
      <c r="O191" s="6" t="s">
        <v>1005</v>
      </c>
      <c r="P191" s="6" t="b">
        <v>1</v>
      </c>
      <c r="Q191" s="8" t="s">
        <v>127</v>
      </c>
    </row>
    <row r="192" spans="1:17" x14ac:dyDescent="0.25">
      <c r="A192" s="4" t="s">
        <v>1105</v>
      </c>
      <c r="B192" s="6" t="s">
        <v>1502</v>
      </c>
      <c r="C192" s="6" t="s">
        <v>81</v>
      </c>
      <c r="D192" s="6" t="s">
        <v>256</v>
      </c>
      <c r="E192" s="5">
        <v>44137</v>
      </c>
      <c r="F192" s="6">
        <v>2</v>
      </c>
      <c r="G192" s="6">
        <v>12</v>
      </c>
      <c r="H192" s="6">
        <v>8</v>
      </c>
      <c r="I192" s="6" t="s">
        <v>106</v>
      </c>
      <c r="J192" s="6" t="s">
        <v>152</v>
      </c>
      <c r="K192" s="6" t="s">
        <v>248</v>
      </c>
      <c r="L192" s="6" t="s">
        <v>553</v>
      </c>
      <c r="M192" s="7" t="str">
        <f>HYPERLINK("http://ovidsp.ovid.com/ovidweb.cgi?T=JS&amp;NEWS=n&amp;CSC=Y&amp;PAGE=toc&amp;D=yrovft&amp;AN=01720096-000000000-00000","http://ovidsp.ovid.com/ovidweb.cgi?T=JS&amp;NEWS=n&amp;CSC=Y&amp;PAGE=toc&amp;D=yrovft&amp;AN=01720096-000000000-00000")</f>
        <v>http://ovidsp.ovid.com/ovidweb.cgi?T=JS&amp;NEWS=n&amp;CSC=Y&amp;PAGE=toc&amp;D=yrovft&amp;AN=01720096-000000000-00000</v>
      </c>
      <c r="N192" s="6" t="s">
        <v>1117</v>
      </c>
      <c r="O192" s="6" t="s">
        <v>1461</v>
      </c>
      <c r="P192" s="6" t="b">
        <v>1</v>
      </c>
      <c r="Q192" s="8" t="s">
        <v>860</v>
      </c>
    </row>
    <row r="193" spans="1:17" x14ac:dyDescent="0.25">
      <c r="A193" s="4" t="s">
        <v>1344</v>
      </c>
      <c r="B193" s="6" t="s">
        <v>823</v>
      </c>
      <c r="C193" s="6" t="s">
        <v>789</v>
      </c>
      <c r="D193" s="6" t="s">
        <v>256</v>
      </c>
      <c r="E193" s="5">
        <v>44137</v>
      </c>
      <c r="F193" s="6">
        <v>14</v>
      </c>
      <c r="G193" s="6">
        <v>1</v>
      </c>
      <c r="H193" s="6">
        <v>19</v>
      </c>
      <c r="I193" s="6">
        <v>3</v>
      </c>
      <c r="J193" s="6" t="s">
        <v>1231</v>
      </c>
      <c r="K193" s="6" t="s">
        <v>365</v>
      </c>
      <c r="L193" s="6" t="s">
        <v>553</v>
      </c>
      <c r="M193" s="7" t="str">
        <f>HYPERLINK("http://ovidsp.ovid.com/ovidweb.cgi?T=JS&amp;NEWS=n&amp;CSC=Y&amp;PAGE=toc&amp;D=yrovft&amp;AN=00134384-000000000-00000","http://ovidsp.ovid.com/ovidweb.cgi?T=JS&amp;NEWS=n&amp;CSC=Y&amp;PAGE=toc&amp;D=yrovft&amp;AN=00134384-000000000-00000")</f>
        <v>http://ovidsp.ovid.com/ovidweb.cgi?T=JS&amp;NEWS=n&amp;CSC=Y&amp;PAGE=toc&amp;D=yrovft&amp;AN=00134384-000000000-00000</v>
      </c>
      <c r="N193" s="6" t="s">
        <v>1117</v>
      </c>
      <c r="O193" s="6" t="s">
        <v>1287</v>
      </c>
      <c r="P193" s="6" t="b">
        <v>0</v>
      </c>
      <c r="Q193" s="8" t="s">
        <v>1117</v>
      </c>
    </row>
    <row r="194" spans="1:17" x14ac:dyDescent="0.25">
      <c r="A194" s="4" t="s">
        <v>249</v>
      </c>
      <c r="B194" s="6" t="s">
        <v>1087</v>
      </c>
      <c r="C194" s="6" t="s">
        <v>1117</v>
      </c>
      <c r="D194" s="6" t="s">
        <v>256</v>
      </c>
      <c r="E194" s="5">
        <v>44137</v>
      </c>
      <c r="F194" s="6">
        <v>35</v>
      </c>
      <c r="G194" s="6">
        <v>1</v>
      </c>
      <c r="H194" s="6">
        <v>35</v>
      </c>
      <c r="I194" s="6">
        <v>24</v>
      </c>
      <c r="J194" s="6" t="s">
        <v>1247</v>
      </c>
      <c r="K194" s="6" t="s">
        <v>1251</v>
      </c>
      <c r="L194" s="6" t="s">
        <v>331</v>
      </c>
      <c r="M194" s="7" t="str">
        <f>HYPERLINK("http://ovidsp.ovid.com/ovidweb.cgi?T=JS&amp;NEWS=n&amp;CSC=Y&amp;PAGE=toc&amp;D=yrovft&amp;AN=00256406-000000000-00000","http://ovidsp.ovid.com/ovidweb.cgi?T=JS&amp;NEWS=n&amp;CSC=Y&amp;PAGE=toc&amp;D=yrovft&amp;AN=00256406-000000000-00000")</f>
        <v>http://ovidsp.ovid.com/ovidweb.cgi?T=JS&amp;NEWS=n&amp;CSC=Y&amp;PAGE=toc&amp;D=yrovft&amp;AN=00256406-000000000-00000</v>
      </c>
      <c r="N194" s="6" t="s">
        <v>1117</v>
      </c>
      <c r="O194" s="6" t="s">
        <v>1063</v>
      </c>
      <c r="P194" s="6" t="b">
        <v>0</v>
      </c>
      <c r="Q194" s="8" t="s">
        <v>1117</v>
      </c>
    </row>
    <row r="195" spans="1:17" x14ac:dyDescent="0.25">
      <c r="A195" s="4" t="s">
        <v>846</v>
      </c>
      <c r="B195" s="6" t="s">
        <v>567</v>
      </c>
      <c r="C195" s="6" t="s">
        <v>1183</v>
      </c>
      <c r="D195" s="6" t="s">
        <v>256</v>
      </c>
      <c r="E195" s="5">
        <v>44137</v>
      </c>
      <c r="F195" s="6">
        <v>20</v>
      </c>
      <c r="G195" s="6">
        <v>1</v>
      </c>
      <c r="H195" s="6">
        <v>25</v>
      </c>
      <c r="I195" s="6">
        <v>6</v>
      </c>
      <c r="J195" s="6" t="s">
        <v>1635</v>
      </c>
      <c r="K195" s="6" t="s">
        <v>1528</v>
      </c>
      <c r="L195" s="6" t="s">
        <v>270</v>
      </c>
      <c r="M195" s="7" t="str">
        <f>HYPERLINK("http://ovidsp.ovid.com/ovidweb.cgi?T=JS&amp;NEWS=n&amp;CSC=Y&amp;PAGE=toc&amp;D=yrovft&amp;AN=01269241-000000000-00000","http://ovidsp.ovid.com/ovidweb.cgi?T=JS&amp;NEWS=n&amp;CSC=Y&amp;PAGE=toc&amp;D=yrovft&amp;AN=01269241-000000000-00000")</f>
        <v>http://ovidsp.ovid.com/ovidweb.cgi?T=JS&amp;NEWS=n&amp;CSC=Y&amp;PAGE=toc&amp;D=yrovft&amp;AN=01269241-000000000-00000</v>
      </c>
      <c r="N195" s="6" t="s">
        <v>1117</v>
      </c>
      <c r="O195" s="6" t="s">
        <v>1051</v>
      </c>
      <c r="P195" s="6" t="b">
        <v>1</v>
      </c>
      <c r="Q195" s="8" t="s">
        <v>1057</v>
      </c>
    </row>
    <row r="196" spans="1:17" x14ac:dyDescent="0.25">
      <c r="A196" s="4" t="s">
        <v>311</v>
      </c>
      <c r="B196" s="6" t="s">
        <v>354</v>
      </c>
      <c r="C196" s="6" t="s">
        <v>23</v>
      </c>
      <c r="D196" s="6" t="s">
        <v>256</v>
      </c>
      <c r="E196" s="5">
        <v>44137</v>
      </c>
      <c r="F196" s="6">
        <v>25</v>
      </c>
      <c r="G196" s="6">
        <v>1</v>
      </c>
      <c r="H196" s="6">
        <v>30</v>
      </c>
      <c r="I196" s="6">
        <v>5</v>
      </c>
      <c r="J196" s="6" t="s">
        <v>1686</v>
      </c>
      <c r="K196" s="6" t="s">
        <v>210</v>
      </c>
      <c r="L196" s="6" t="s">
        <v>739</v>
      </c>
      <c r="M196" s="7" t="str">
        <f>HYPERLINK("http://ovidsp.ovid.com/ovidweb.cgi?T=JS&amp;NEWS=n&amp;CSC=Y&amp;PAGE=toc&amp;D=yrovft&amp;AN=00041444-000000000-00000","http://ovidsp.ovid.com/ovidweb.cgi?T=JS&amp;NEWS=n&amp;CSC=Y&amp;PAGE=toc&amp;D=yrovft&amp;AN=00041444-000000000-00000")</f>
        <v>http://ovidsp.ovid.com/ovidweb.cgi?T=JS&amp;NEWS=n&amp;CSC=Y&amp;PAGE=toc&amp;D=yrovft&amp;AN=00041444-000000000-00000</v>
      </c>
      <c r="N196" s="6" t="s">
        <v>1117</v>
      </c>
      <c r="O196" s="6" t="s">
        <v>297</v>
      </c>
      <c r="P196" s="6" t="b">
        <v>1</v>
      </c>
      <c r="Q196" s="8" t="s">
        <v>213</v>
      </c>
    </row>
    <row r="197" spans="1:17" x14ac:dyDescent="0.25">
      <c r="A197" s="4" t="s">
        <v>870</v>
      </c>
      <c r="B197" s="6" t="s">
        <v>1237</v>
      </c>
      <c r="C197" s="6" t="s">
        <v>166</v>
      </c>
      <c r="D197" s="6" t="s">
        <v>256</v>
      </c>
      <c r="E197" s="5">
        <v>44137</v>
      </c>
      <c r="F197" s="6">
        <v>77</v>
      </c>
      <c r="G197" s="6">
        <v>1</v>
      </c>
      <c r="H197" s="6">
        <v>82</v>
      </c>
      <c r="I197" s="6">
        <v>8</v>
      </c>
      <c r="J197" s="6" t="s">
        <v>1189</v>
      </c>
      <c r="K197" s="6" t="s">
        <v>1349</v>
      </c>
      <c r="L197" s="6" t="s">
        <v>739</v>
      </c>
      <c r="M197" s="7" t="str">
        <f>HYPERLINK("http://ovidsp.ovid.com/ovidweb.cgi?T=JS&amp;NEWS=n&amp;CSC=Y&amp;PAGE=toc&amp;D=yrovft&amp;AN=00006842-000000000-00000","http://ovidsp.ovid.com/ovidweb.cgi?T=JS&amp;NEWS=n&amp;CSC=Y&amp;PAGE=toc&amp;D=yrovft&amp;AN=00006842-000000000-00000")</f>
        <v>http://ovidsp.ovid.com/ovidweb.cgi?T=JS&amp;NEWS=n&amp;CSC=Y&amp;PAGE=toc&amp;D=yrovft&amp;AN=00006842-000000000-00000</v>
      </c>
      <c r="N197" s="6" t="s">
        <v>1117</v>
      </c>
      <c r="O197" s="6" t="s">
        <v>939</v>
      </c>
      <c r="P197" s="6" t="b">
        <v>1</v>
      </c>
      <c r="Q197" s="8" t="s">
        <v>842</v>
      </c>
    </row>
    <row r="198" spans="1:17" x14ac:dyDescent="0.25">
      <c r="A198" s="4" t="s">
        <v>1044</v>
      </c>
      <c r="B198" s="6" t="s">
        <v>1451</v>
      </c>
      <c r="C198" s="6" t="s">
        <v>432</v>
      </c>
      <c r="D198" s="6" t="s">
        <v>256</v>
      </c>
      <c r="E198" s="5">
        <v>44137</v>
      </c>
      <c r="F198" s="6">
        <v>24</v>
      </c>
      <c r="G198" s="6">
        <v>1</v>
      </c>
      <c r="H198" s="6">
        <v>29</v>
      </c>
      <c r="I198" s="6">
        <v>4</v>
      </c>
      <c r="J198" s="6" t="s">
        <v>486</v>
      </c>
      <c r="K198" s="6" t="s">
        <v>1671</v>
      </c>
      <c r="L198" s="6" t="s">
        <v>206</v>
      </c>
      <c r="M198" s="7" t="str">
        <f>HYPERLINK("http://ovidsp.ovid.com/ovidweb.cgi?T=JS&amp;NEWS=n&amp;CSC=Y&amp;PAGE=toc&amp;D=yrovft&amp;AN=00019514-000000000-00000","http://ovidsp.ovid.com/ovidweb.cgi?T=JS&amp;NEWS=n&amp;CSC=Y&amp;PAGE=toc&amp;D=yrovft&amp;AN=00019514-000000000-00000")</f>
        <v>http://ovidsp.ovid.com/ovidweb.cgi?T=JS&amp;NEWS=n&amp;CSC=Y&amp;PAGE=toc&amp;D=yrovft&amp;AN=00019514-000000000-00000</v>
      </c>
      <c r="N198" s="6" t="s">
        <v>1117</v>
      </c>
      <c r="O198" s="6" t="s">
        <v>1249</v>
      </c>
      <c r="P198" s="6" t="b">
        <v>0</v>
      </c>
      <c r="Q198" s="8" t="s">
        <v>1117</v>
      </c>
    </row>
    <row r="199" spans="1:17" x14ac:dyDescent="0.25">
      <c r="A199" s="4" t="s">
        <v>156</v>
      </c>
      <c r="B199" s="6" t="s">
        <v>1610</v>
      </c>
      <c r="C199" s="6" t="s">
        <v>36</v>
      </c>
      <c r="D199" s="6" t="s">
        <v>256</v>
      </c>
      <c r="E199" s="5">
        <v>44137</v>
      </c>
      <c r="F199" s="6">
        <v>35</v>
      </c>
      <c r="G199" s="6">
        <v>1</v>
      </c>
      <c r="H199" s="6">
        <v>40</v>
      </c>
      <c r="I199" s="6">
        <v>11</v>
      </c>
      <c r="J199" s="6" t="s">
        <v>565</v>
      </c>
      <c r="K199" s="6" t="s">
        <v>1349</v>
      </c>
      <c r="L199" s="6" t="s">
        <v>1046</v>
      </c>
      <c r="M199" s="7" t="str">
        <f>HYPERLINK("http://ovidsp.ovid.com/ovidweb.cgi?T=JS&amp;NEWS=n&amp;CSC=Y&amp;PAGE=toc&amp;D=yrovft&amp;AN=00006982-000000000-00000","http://ovidsp.ovid.com/ovidweb.cgi?T=JS&amp;NEWS=n&amp;CSC=Y&amp;PAGE=toc&amp;D=yrovft&amp;AN=00006982-000000000-00000")</f>
        <v>http://ovidsp.ovid.com/ovidweb.cgi?T=JS&amp;NEWS=n&amp;CSC=Y&amp;PAGE=toc&amp;D=yrovft&amp;AN=00006982-000000000-00000</v>
      </c>
      <c r="N199" s="6" t="s">
        <v>1117</v>
      </c>
      <c r="O199" s="6" t="s">
        <v>1665</v>
      </c>
      <c r="P199" s="6" t="b">
        <v>1</v>
      </c>
      <c r="Q199" s="8" t="s">
        <v>38</v>
      </c>
    </row>
    <row r="200" spans="1:17" x14ac:dyDescent="0.25">
      <c r="A200" s="4" t="s">
        <v>1435</v>
      </c>
      <c r="B200" s="6" t="s">
        <v>664</v>
      </c>
      <c r="C200" s="6" t="s">
        <v>282</v>
      </c>
      <c r="D200" s="6" t="s">
        <v>256</v>
      </c>
      <c r="E200" s="5">
        <v>44137</v>
      </c>
      <c r="F200" s="6">
        <v>26</v>
      </c>
      <c r="G200" s="6">
        <v>1</v>
      </c>
      <c r="H200" s="6">
        <v>31</v>
      </c>
      <c r="I200" s="6">
        <v>4</v>
      </c>
      <c r="J200" s="6" t="s">
        <v>1189</v>
      </c>
      <c r="K200" s="6" t="s">
        <v>1349</v>
      </c>
      <c r="L200" s="6" t="s">
        <v>739</v>
      </c>
      <c r="M200" s="7" t="str">
        <f>HYPERLINK("http://ovidsp.ovid.com/ovidweb.cgi?T=JS&amp;NEWS=n&amp;CSC=Y&amp;PAGE=toc&amp;D=yrovft&amp;AN=00013542-000000000-00000","http://ovidsp.ovid.com/ovidweb.cgi?T=JS&amp;NEWS=n&amp;CSC=Y&amp;PAGE=toc&amp;D=yrovft&amp;AN=00013542-000000000-00000")</f>
        <v>http://ovidsp.ovid.com/ovidweb.cgi?T=JS&amp;NEWS=n&amp;CSC=Y&amp;PAGE=toc&amp;D=yrovft&amp;AN=00013542-000000000-00000</v>
      </c>
      <c r="N200" s="6" t="s">
        <v>1117</v>
      </c>
      <c r="O200" s="6" t="s">
        <v>1726</v>
      </c>
      <c r="P200" s="6" t="b">
        <v>1</v>
      </c>
      <c r="Q200" s="8" t="s">
        <v>515</v>
      </c>
    </row>
    <row r="201" spans="1:17" x14ac:dyDescent="0.25">
      <c r="A201" s="4" t="s">
        <v>901</v>
      </c>
      <c r="B201" s="6" t="s">
        <v>467</v>
      </c>
      <c r="C201" s="6" t="s">
        <v>1550</v>
      </c>
      <c r="D201" s="6" t="s">
        <v>256</v>
      </c>
      <c r="E201" s="5">
        <v>44137</v>
      </c>
      <c r="F201" s="6">
        <v>42</v>
      </c>
      <c r="G201" s="6">
        <v>1</v>
      </c>
      <c r="H201" s="6">
        <v>47</v>
      </c>
      <c r="I201" s="6">
        <v>11</v>
      </c>
      <c r="J201" s="6" t="s">
        <v>565</v>
      </c>
      <c r="K201" s="6" t="s">
        <v>1349</v>
      </c>
      <c r="L201" s="6" t="s">
        <v>1046</v>
      </c>
      <c r="M201" s="7" t="str">
        <f>HYPERLINK("http://ovidsp.ovid.com/ovidweb.cgi?T=JS&amp;NEWS=n&amp;CSC=Y&amp;PAGE=toc&amp;D=yrovft&amp;AN=00007435-000000000-00000","http://ovidsp.ovid.com/ovidweb.cgi?T=JS&amp;NEWS=n&amp;CSC=Y&amp;PAGE=toc&amp;D=yrovft&amp;AN=00007435-000000000-00000")</f>
        <v>http://ovidsp.ovid.com/ovidweb.cgi?T=JS&amp;NEWS=n&amp;CSC=Y&amp;PAGE=toc&amp;D=yrovft&amp;AN=00007435-000000000-00000</v>
      </c>
      <c r="N201" s="6" t="s">
        <v>1117</v>
      </c>
      <c r="O201" s="6" t="s">
        <v>997</v>
      </c>
      <c r="P201" s="6" t="b">
        <v>1</v>
      </c>
      <c r="Q201" s="8" t="s">
        <v>984</v>
      </c>
    </row>
    <row r="202" spans="1:17" x14ac:dyDescent="0.25">
      <c r="A202" s="4" t="s">
        <v>48</v>
      </c>
      <c r="B202" s="6" t="s">
        <v>1208</v>
      </c>
      <c r="C202" s="6" t="s">
        <v>266</v>
      </c>
      <c r="D202" s="6" t="s">
        <v>256</v>
      </c>
      <c r="E202" s="5">
        <v>44137</v>
      </c>
      <c r="F202" s="6">
        <v>40</v>
      </c>
      <c r="G202" s="6">
        <v>2</v>
      </c>
      <c r="H202" s="6">
        <v>45</v>
      </c>
      <c r="I202" s="6">
        <v>21</v>
      </c>
      <c r="J202" s="6" t="s">
        <v>1297</v>
      </c>
      <c r="K202" s="6" t="s">
        <v>1251</v>
      </c>
      <c r="L202" s="6" t="s">
        <v>439</v>
      </c>
      <c r="M202" s="7" t="str">
        <f>HYPERLINK("http://ovidsp.ovid.com/ovidweb.cgi?T=JS&amp;NEWS=n&amp;CSC=Y&amp;PAGE=toc&amp;D=yrovft&amp;AN=00007632-000000000-00000","http://ovidsp.ovid.com/ovidweb.cgi?T=JS&amp;NEWS=n&amp;CSC=Y&amp;PAGE=toc&amp;D=yrovft&amp;AN=00007632-000000000-00000")</f>
        <v>http://ovidsp.ovid.com/ovidweb.cgi?T=JS&amp;NEWS=n&amp;CSC=Y&amp;PAGE=toc&amp;D=yrovft&amp;AN=00007632-000000000-00000</v>
      </c>
      <c r="N202" s="6" t="s">
        <v>1117</v>
      </c>
      <c r="O202" s="6" t="s">
        <v>374</v>
      </c>
      <c r="P202" s="6" t="b">
        <v>1</v>
      </c>
      <c r="Q202" s="8" t="s">
        <v>1512</v>
      </c>
    </row>
    <row r="203" spans="1:17" x14ac:dyDescent="0.25">
      <c r="A203" s="4" t="s">
        <v>27</v>
      </c>
      <c r="B203" s="6" t="s">
        <v>996</v>
      </c>
      <c r="C203" s="6" t="s">
        <v>266</v>
      </c>
      <c r="D203" s="6" t="s">
        <v>256</v>
      </c>
      <c r="E203" s="5">
        <v>44137</v>
      </c>
      <c r="F203" s="6">
        <v>0</v>
      </c>
      <c r="G203" s="6">
        <v>0</v>
      </c>
      <c r="H203" s="6">
        <v>0</v>
      </c>
      <c r="I203" s="6">
        <v>0</v>
      </c>
      <c r="J203" s="6" t="s">
        <v>262</v>
      </c>
      <c r="K203" s="6" t="s">
        <v>386</v>
      </c>
      <c r="L203" s="6" t="s">
        <v>224</v>
      </c>
      <c r="M203" s="7" t="str">
        <f>HYPERLINK("http://ovidsp.ovid.com/ovidweb.cgi?T=JS&amp;NEWS=n&amp;CSC=Y&amp;PAGE=toc&amp;D=yrovft&amp;AN=00152232-000000000-00000","http://ovidsp.ovid.com/ovidweb.cgi?T=JS&amp;NEWS=n&amp;CSC=Y&amp;PAGE=toc&amp;D=yrovft&amp;AN=00152232-000000000-00000")</f>
        <v>http://ovidsp.ovid.com/ovidweb.cgi?T=JS&amp;NEWS=n&amp;CSC=Y&amp;PAGE=toc&amp;D=yrovft&amp;AN=00152232-000000000-00000</v>
      </c>
      <c r="N203" s="6" t="s">
        <v>1117</v>
      </c>
      <c r="O203" s="6" t="s">
        <v>645</v>
      </c>
      <c r="P203" s="6" t="b">
        <v>0</v>
      </c>
      <c r="Q203" s="8" t="s">
        <v>1117</v>
      </c>
    </row>
    <row r="204" spans="1:17" x14ac:dyDescent="0.25">
      <c r="A204" s="4" t="s">
        <v>1258</v>
      </c>
      <c r="B204" s="6" t="s">
        <v>941</v>
      </c>
      <c r="C204" s="6" t="s">
        <v>672</v>
      </c>
      <c r="D204" s="6" t="s">
        <v>256</v>
      </c>
      <c r="E204" s="5">
        <v>44137</v>
      </c>
      <c r="F204" s="6">
        <v>23</v>
      </c>
      <c r="G204" s="6">
        <v>1</v>
      </c>
      <c r="H204" s="6">
        <v>28</v>
      </c>
      <c r="I204" s="6">
        <v>3</v>
      </c>
      <c r="J204" s="6" t="s">
        <v>1231</v>
      </c>
      <c r="K204" s="6" t="s">
        <v>365</v>
      </c>
      <c r="L204" s="6" t="s">
        <v>553</v>
      </c>
      <c r="M204" s="7" t="str">
        <f>HYPERLINK("http://ovidsp.ovid.com/ovidweb.cgi?T=JS&amp;NEWS=n&amp;CSC=Y&amp;PAGE=toc&amp;D=yrovft&amp;AN=00132585-000000000-00000","http://ovidsp.ovid.com/ovidweb.cgi?T=JS&amp;NEWS=n&amp;CSC=Y&amp;PAGE=toc&amp;D=yrovft&amp;AN=00132585-000000000-00000")</f>
        <v>http://ovidsp.ovid.com/ovidweb.cgi?T=JS&amp;NEWS=n&amp;CSC=Y&amp;PAGE=toc&amp;D=yrovft&amp;AN=00132585-000000000-00000</v>
      </c>
      <c r="N204" s="6" t="s">
        <v>1117</v>
      </c>
      <c r="O204" s="6" t="s">
        <v>1376</v>
      </c>
      <c r="P204" s="6" t="b">
        <v>0</v>
      </c>
      <c r="Q204" s="8" t="s">
        <v>1117</v>
      </c>
    </row>
    <row r="205" spans="1:17" x14ac:dyDescent="0.25">
      <c r="A205" s="4" t="s">
        <v>1621</v>
      </c>
      <c r="B205" s="6" t="s">
        <v>1426</v>
      </c>
      <c r="C205" s="6" t="s">
        <v>139</v>
      </c>
      <c r="D205" s="6" t="s">
        <v>1179</v>
      </c>
      <c r="E205" s="5">
        <v>44137</v>
      </c>
      <c r="F205" s="6">
        <v>46</v>
      </c>
      <c r="G205" s="6">
        <v>1</v>
      </c>
      <c r="H205" s="6">
        <v>51</v>
      </c>
      <c r="I205" s="6">
        <v>10</v>
      </c>
      <c r="J205" s="6" t="s">
        <v>1189</v>
      </c>
      <c r="K205" s="6" t="s">
        <v>1349</v>
      </c>
      <c r="L205" s="6" t="s">
        <v>739</v>
      </c>
      <c r="M205" s="7" t="str">
        <f>HYPERLINK("http://ovidsp.ovid.com/ovidweb.cgi?T=JS&amp;NEWS=n&amp;CSC=Y&amp;PAGE=toc&amp;D=yrovft&amp;AN=00007670-000000000-00000","http://ovidsp.ovid.com/ovidweb.cgi?T=JS&amp;NEWS=n&amp;CSC=Y&amp;PAGE=toc&amp;D=yrovft&amp;AN=00007670-000000000-00000")</f>
        <v>http://ovidsp.ovid.com/ovidweb.cgi?T=JS&amp;NEWS=n&amp;CSC=Y&amp;PAGE=toc&amp;D=yrovft&amp;AN=00007670-000000000-00000</v>
      </c>
      <c r="N205" s="6" t="s">
        <v>1117</v>
      </c>
      <c r="O205" s="6" t="s">
        <v>1727</v>
      </c>
      <c r="P205" s="6" t="b">
        <v>1</v>
      </c>
      <c r="Q205" s="8" t="s">
        <v>203</v>
      </c>
    </row>
    <row r="206" spans="1:17" x14ac:dyDescent="0.25">
      <c r="A206" s="4" t="s">
        <v>634</v>
      </c>
      <c r="B206" s="6" t="s">
        <v>755</v>
      </c>
      <c r="C206" s="6" t="s">
        <v>971</v>
      </c>
      <c r="D206" s="6" t="s">
        <v>256</v>
      </c>
      <c r="E206" s="5">
        <v>44137</v>
      </c>
      <c r="F206" s="6">
        <v>25</v>
      </c>
      <c r="G206" s="6">
        <v>1</v>
      </c>
      <c r="H206" s="6">
        <v>30</v>
      </c>
      <c r="I206" s="6">
        <v>5</v>
      </c>
      <c r="J206" s="6" t="s">
        <v>1686</v>
      </c>
      <c r="K206" s="6" t="s">
        <v>210</v>
      </c>
      <c r="L206" s="6" t="s">
        <v>739</v>
      </c>
      <c r="M206" s="7" t="str">
        <f>HYPERLINK("http://ovidsp.ovid.com/ovidweb.cgi?T=JS&amp;NEWS=n&amp;CSC=Y&amp;PAGE=toc&amp;D=yrovft&amp;AN=00129689-000000000-00000","http://ovidsp.ovid.com/ovidweb.cgi?T=JS&amp;NEWS=n&amp;CSC=Y&amp;PAGE=toc&amp;D=yrovft&amp;AN=00129689-000000000-00000")</f>
        <v>http://ovidsp.ovid.com/ovidweb.cgi?T=JS&amp;NEWS=n&amp;CSC=Y&amp;PAGE=toc&amp;D=yrovft&amp;AN=00129689-000000000-00000</v>
      </c>
      <c r="N206" s="6" t="s">
        <v>1117</v>
      </c>
      <c r="O206" s="6" t="s">
        <v>696</v>
      </c>
      <c r="P206" s="6" t="b">
        <v>1</v>
      </c>
      <c r="Q206" s="8" t="s">
        <v>1684</v>
      </c>
    </row>
    <row r="207" spans="1:17" x14ac:dyDescent="0.25">
      <c r="A207" s="4" t="s">
        <v>965</v>
      </c>
      <c r="B207" s="6" t="s">
        <v>697</v>
      </c>
      <c r="C207" s="6" t="s">
        <v>1015</v>
      </c>
      <c r="D207" s="6" t="s">
        <v>256</v>
      </c>
      <c r="E207" s="5">
        <v>44137</v>
      </c>
      <c r="F207" s="6">
        <v>45</v>
      </c>
      <c r="G207" s="6">
        <v>1</v>
      </c>
      <c r="H207" s="6">
        <v>61</v>
      </c>
      <c r="I207" s="6" t="s">
        <v>1114</v>
      </c>
      <c r="J207" s="6" t="s">
        <v>1460</v>
      </c>
      <c r="K207" s="6" t="s">
        <v>1253</v>
      </c>
      <c r="L207" s="6" t="s">
        <v>1134</v>
      </c>
      <c r="M207" s="7" t="str">
        <f>HYPERLINK("http://ovidsp.ovid.com/ovidweb.cgi?T=JS&amp;NEWS=n&amp;CSC=Y&amp;PAGE=toc&amp;D=yrovft&amp;AN=00132586-000000000-00000","http://ovidsp.ovid.com/ovidweb.cgi?T=JS&amp;NEWS=n&amp;CSC=Y&amp;PAGE=toc&amp;D=yrovft&amp;AN=00132586-000000000-00000")</f>
        <v>http://ovidsp.ovid.com/ovidweb.cgi?T=JS&amp;NEWS=n&amp;CSC=Y&amp;PAGE=toc&amp;D=yrovft&amp;AN=00132586-000000000-00000</v>
      </c>
      <c r="N207" s="6" t="s">
        <v>1117</v>
      </c>
      <c r="O207" s="6" t="s">
        <v>1678</v>
      </c>
      <c r="P207" s="6" t="b">
        <v>0</v>
      </c>
      <c r="Q207" s="8" t="s">
        <v>1117</v>
      </c>
    </row>
    <row r="208" spans="1:17" x14ac:dyDescent="0.25">
      <c r="A208" s="4" t="s">
        <v>7</v>
      </c>
      <c r="B208" s="6" t="s">
        <v>976</v>
      </c>
      <c r="C208" s="6" t="s">
        <v>95</v>
      </c>
      <c r="D208" s="6" t="s">
        <v>256</v>
      </c>
      <c r="E208" s="5">
        <v>44137</v>
      </c>
      <c r="F208" s="6">
        <v>14</v>
      </c>
      <c r="G208" s="6">
        <v>1</v>
      </c>
      <c r="H208" s="6">
        <v>19</v>
      </c>
      <c r="I208" s="6">
        <v>3</v>
      </c>
      <c r="J208" s="6" t="s">
        <v>1231</v>
      </c>
      <c r="K208" s="6" t="s">
        <v>365</v>
      </c>
      <c r="L208" s="6" t="s">
        <v>553</v>
      </c>
      <c r="M208" s="7" t="str">
        <f>HYPERLINK("http://ovidsp.ovid.com/ovidweb.cgi?T=JS&amp;NEWS=n&amp;CSC=Y&amp;PAGE=toc&amp;D=yrovft&amp;AN=00132587-000000000-00000","http://ovidsp.ovid.com/ovidweb.cgi?T=JS&amp;NEWS=n&amp;CSC=Y&amp;PAGE=toc&amp;D=yrovft&amp;AN=00132587-000000000-00000")</f>
        <v>http://ovidsp.ovid.com/ovidweb.cgi?T=JS&amp;NEWS=n&amp;CSC=Y&amp;PAGE=toc&amp;D=yrovft&amp;AN=00132587-000000000-00000</v>
      </c>
      <c r="N208" s="6" t="s">
        <v>1117</v>
      </c>
      <c r="O208" s="6" t="s">
        <v>875</v>
      </c>
      <c r="P208" s="6" t="b">
        <v>1</v>
      </c>
      <c r="Q208" s="8" t="s">
        <v>1261</v>
      </c>
    </row>
    <row r="209" spans="1:17" x14ac:dyDescent="0.25">
      <c r="A209" s="4" t="s">
        <v>456</v>
      </c>
      <c r="B209" s="6" t="s">
        <v>1227</v>
      </c>
      <c r="C209" s="6" t="s">
        <v>182</v>
      </c>
      <c r="D209" s="6" t="s">
        <v>256</v>
      </c>
      <c r="E209" s="5">
        <v>44137</v>
      </c>
      <c r="F209" s="6">
        <v>19</v>
      </c>
      <c r="G209" s="6">
        <v>1</v>
      </c>
      <c r="H209" s="6">
        <v>24</v>
      </c>
      <c r="I209" s="6">
        <v>3</v>
      </c>
      <c r="J209" s="6" t="s">
        <v>1231</v>
      </c>
      <c r="K209" s="6" t="s">
        <v>365</v>
      </c>
      <c r="L209" s="6" t="s">
        <v>553</v>
      </c>
      <c r="M209" s="7" t="str">
        <f>HYPERLINK("http://ovidsp.ovid.com/ovidweb.cgi?T=JS&amp;NEWS=n&amp;CSC=Y&amp;PAGE=toc&amp;D=yrovft&amp;AN=00130911-000000000-00000","http://ovidsp.ovid.com/ovidweb.cgi?T=JS&amp;NEWS=n&amp;CSC=Y&amp;PAGE=toc&amp;D=yrovft&amp;AN=00130911-000000000-00000")</f>
        <v>http://ovidsp.ovid.com/ovidweb.cgi?T=JS&amp;NEWS=n&amp;CSC=Y&amp;PAGE=toc&amp;D=yrovft&amp;AN=00130911-000000000-00000</v>
      </c>
      <c r="N209" s="6" t="s">
        <v>1117</v>
      </c>
      <c r="O209" s="6" t="s">
        <v>187</v>
      </c>
      <c r="P209" s="6" t="b">
        <v>1</v>
      </c>
      <c r="Q209" s="8" t="s">
        <v>612</v>
      </c>
    </row>
    <row r="210" spans="1:17" x14ac:dyDescent="0.25">
      <c r="A210" s="4" t="s">
        <v>11</v>
      </c>
      <c r="B210" s="6" t="s">
        <v>305</v>
      </c>
      <c r="C210" s="6" t="s">
        <v>1636</v>
      </c>
      <c r="D210" s="6" t="s">
        <v>256</v>
      </c>
      <c r="E210" s="5">
        <v>44137</v>
      </c>
      <c r="F210" s="6">
        <v>1</v>
      </c>
      <c r="G210" s="6">
        <v>1</v>
      </c>
      <c r="H210" s="6">
        <v>11</v>
      </c>
      <c r="I210" s="6">
        <v>4</v>
      </c>
      <c r="J210" s="6" t="s">
        <v>1137</v>
      </c>
      <c r="K210" s="6" t="s">
        <v>1729</v>
      </c>
      <c r="L210" s="6" t="s">
        <v>302</v>
      </c>
      <c r="M210" s="7" t="str">
        <f>HYPERLINK("http://ovidsp.ovid.com/ovidweb.cgi?T=JS&amp;NEWS=n&amp;CSC=Y&amp;PAGE=toc&amp;D=yrovft&amp;AN=00132588-000000000-00000","http://ovidsp.ovid.com/ovidweb.cgi?T=JS&amp;NEWS=n&amp;CSC=Y&amp;PAGE=toc&amp;D=yrovft&amp;AN=00132588-000000000-00000")</f>
        <v>http://ovidsp.ovid.com/ovidweb.cgi?T=JS&amp;NEWS=n&amp;CSC=Y&amp;PAGE=toc&amp;D=yrovft&amp;AN=00132588-000000000-00000</v>
      </c>
      <c r="N210" s="6" t="s">
        <v>1117</v>
      </c>
      <c r="O210" s="6" t="s">
        <v>259</v>
      </c>
      <c r="P210" s="6" t="b">
        <v>0</v>
      </c>
      <c r="Q210" s="8" t="s">
        <v>1117</v>
      </c>
    </row>
    <row r="211" spans="1:17" x14ac:dyDescent="0.25">
      <c r="A211" s="4" t="s">
        <v>1381</v>
      </c>
      <c r="B211" s="6" t="s">
        <v>295</v>
      </c>
      <c r="C211" s="6" t="s">
        <v>495</v>
      </c>
      <c r="D211" s="6" t="s">
        <v>256</v>
      </c>
      <c r="E211" s="5">
        <v>44137</v>
      </c>
      <c r="F211" s="6">
        <v>1</v>
      </c>
      <c r="G211" s="6">
        <v>1</v>
      </c>
      <c r="H211" s="6">
        <v>9</v>
      </c>
      <c r="I211" s="6">
        <v>4</v>
      </c>
      <c r="J211" s="6" t="s">
        <v>0</v>
      </c>
      <c r="K211" s="6" t="s">
        <v>663</v>
      </c>
      <c r="L211" s="6" t="s">
        <v>62</v>
      </c>
      <c r="M211" s="7" t="str">
        <f>HYPERLINK("http://ovidsp.ovid.com/ovidweb.cgi?T=JS&amp;NEWS=n&amp;CSC=Y&amp;PAGE=toc&amp;D=yrovft&amp;AN=00145756-000000000-00000","http://ovidsp.ovid.com/ovidweb.cgi?T=JS&amp;NEWS=n&amp;CSC=Y&amp;PAGE=toc&amp;D=yrovft&amp;AN=00145756-000000000-00000")</f>
        <v>http://ovidsp.ovid.com/ovidweb.cgi?T=JS&amp;NEWS=n&amp;CSC=Y&amp;PAGE=toc&amp;D=yrovft&amp;AN=00145756-000000000-00000</v>
      </c>
      <c r="N211" s="6" t="s">
        <v>1117</v>
      </c>
      <c r="O211" s="6" t="s">
        <v>150</v>
      </c>
      <c r="P211" s="6" t="b">
        <v>0</v>
      </c>
      <c r="Q211" s="8" t="s">
        <v>1117</v>
      </c>
    </row>
    <row r="212" spans="1:17" x14ac:dyDescent="0.25">
      <c r="A212" s="4" t="s">
        <v>784</v>
      </c>
      <c r="B212" s="6" t="s">
        <v>429</v>
      </c>
      <c r="C212" s="6" t="s">
        <v>429</v>
      </c>
      <c r="D212" s="6" t="s">
        <v>256</v>
      </c>
      <c r="E212" s="5">
        <v>44137</v>
      </c>
      <c r="F212" s="6">
        <v>30</v>
      </c>
      <c r="G212" s="6">
        <v>1</v>
      </c>
      <c r="H212" s="6">
        <v>35</v>
      </c>
      <c r="I212" s="6">
        <v>3</v>
      </c>
      <c r="J212" s="6" t="s">
        <v>1231</v>
      </c>
      <c r="K212" s="6" t="s">
        <v>365</v>
      </c>
      <c r="L212" s="6" t="s">
        <v>553</v>
      </c>
      <c r="M212" s="7" t="str">
        <f>HYPERLINK("http://ovidsp.ovid.com/ovidweb.cgi?T=JS&amp;NEWS=n&amp;CSC=Y&amp;PAGE=toc&amp;D=yrovft&amp;AN=00013611-000000000-00000","http://ovidsp.ovid.com/ovidweb.cgi?T=JS&amp;NEWS=n&amp;CSC=Y&amp;PAGE=toc&amp;D=yrovft&amp;AN=00013611-000000000-00000")</f>
        <v>http://ovidsp.ovid.com/ovidweb.cgi?T=JS&amp;NEWS=n&amp;CSC=Y&amp;PAGE=toc&amp;D=yrovft&amp;AN=00013611-000000000-00000</v>
      </c>
      <c r="N212" s="6" t="s">
        <v>1117</v>
      </c>
      <c r="O212" s="6" t="s">
        <v>463</v>
      </c>
      <c r="P212" s="6" t="b">
        <v>1</v>
      </c>
      <c r="Q212" s="8" t="s">
        <v>237</v>
      </c>
    </row>
    <row r="213" spans="1:17" x14ac:dyDescent="0.25">
      <c r="A213" s="4" t="s">
        <v>227</v>
      </c>
      <c r="B213" s="6" t="s">
        <v>474</v>
      </c>
      <c r="C213" s="6" t="s">
        <v>1304</v>
      </c>
      <c r="D213" s="6" t="s">
        <v>256</v>
      </c>
      <c r="E213" s="5">
        <v>44137</v>
      </c>
      <c r="F213" s="6">
        <v>16</v>
      </c>
      <c r="G213" s="6">
        <v>1</v>
      </c>
      <c r="H213" s="6">
        <v>21</v>
      </c>
      <c r="I213" s="6">
        <v>3</v>
      </c>
      <c r="J213" s="6" t="s">
        <v>1231</v>
      </c>
      <c r="K213" s="6" t="s">
        <v>365</v>
      </c>
      <c r="L213" s="6" t="s">
        <v>553</v>
      </c>
      <c r="M213" s="7" t="str">
        <f>HYPERLINK("http://ovidsp.ovid.com/ovidweb.cgi?T=JS&amp;NEWS=n&amp;CSC=Y&amp;PAGE=toc&amp;D=yrovft&amp;AN=00132589-000000000-00000","http://ovidsp.ovid.com/ovidweb.cgi?T=JS&amp;NEWS=n&amp;CSC=Y&amp;PAGE=toc&amp;D=yrovft&amp;AN=00132589-000000000-00000")</f>
        <v>http://ovidsp.ovid.com/ovidweb.cgi?T=JS&amp;NEWS=n&amp;CSC=Y&amp;PAGE=toc&amp;D=yrovft&amp;AN=00132589-000000000-00000</v>
      </c>
      <c r="N213" s="6" t="s">
        <v>1117</v>
      </c>
      <c r="O213" s="6" t="s">
        <v>1736</v>
      </c>
      <c r="P213" s="6" t="b">
        <v>0</v>
      </c>
      <c r="Q213" s="8" t="s">
        <v>1117</v>
      </c>
    </row>
    <row r="214" spans="1:17" x14ac:dyDescent="0.25">
      <c r="A214" s="4" t="s">
        <v>45</v>
      </c>
      <c r="B214" s="6" t="s">
        <v>541</v>
      </c>
      <c r="C214" s="6" t="s">
        <v>1628</v>
      </c>
      <c r="D214" s="6" t="s">
        <v>256</v>
      </c>
      <c r="E214" s="5">
        <v>44137</v>
      </c>
      <c r="F214" s="6">
        <v>37</v>
      </c>
      <c r="G214" s="6">
        <v>1</v>
      </c>
      <c r="H214" s="6">
        <v>42</v>
      </c>
      <c r="I214" s="6">
        <v>5</v>
      </c>
      <c r="J214" s="6" t="s">
        <v>1686</v>
      </c>
      <c r="K214" s="6" t="s">
        <v>210</v>
      </c>
      <c r="L214" s="6" t="s">
        <v>739</v>
      </c>
      <c r="M214" s="7" t="str">
        <f>HYPERLINK("http://ovidsp.ovid.com/ovidweb.cgi?T=JS&amp;NEWS=n&amp;CSC=Y&amp;PAGE=toc&amp;D=yrovft&amp;AN=00007691-000000000-00000","http://ovidsp.ovid.com/ovidweb.cgi?T=JS&amp;NEWS=n&amp;CSC=Y&amp;PAGE=toc&amp;D=yrovft&amp;AN=00007691-000000000-00000")</f>
        <v>http://ovidsp.ovid.com/ovidweb.cgi?T=JS&amp;NEWS=n&amp;CSC=Y&amp;PAGE=toc&amp;D=yrovft&amp;AN=00007691-000000000-00000</v>
      </c>
      <c r="N214" s="6" t="s">
        <v>1117</v>
      </c>
      <c r="O214" s="6" t="s">
        <v>807</v>
      </c>
      <c r="P214" s="6" t="b">
        <v>0</v>
      </c>
      <c r="Q214" s="8" t="s">
        <v>1117</v>
      </c>
    </row>
    <row r="215" spans="1:17" x14ac:dyDescent="0.25">
      <c r="A215" s="4" t="s">
        <v>1175</v>
      </c>
      <c r="B215" s="6" t="s">
        <v>591</v>
      </c>
      <c r="C215" s="6" t="s">
        <v>1117</v>
      </c>
      <c r="D215" s="6" t="s">
        <v>256</v>
      </c>
      <c r="E215" s="5">
        <v>44137</v>
      </c>
      <c r="F215" s="6">
        <v>30</v>
      </c>
      <c r="G215" s="6">
        <v>1</v>
      </c>
      <c r="H215" s="6">
        <v>35</v>
      </c>
      <c r="I215" s="6">
        <v>4</v>
      </c>
      <c r="J215" s="6" t="s">
        <v>486</v>
      </c>
      <c r="K215" s="6" t="s">
        <v>1671</v>
      </c>
      <c r="L215" s="6" t="s">
        <v>206</v>
      </c>
      <c r="M215" s="7" t="str">
        <f>HYPERLINK("http://ovidsp.ovid.com/ovidweb.cgi?T=JS&amp;NEWS=n&amp;CSC=Y&amp;PAGE=toc&amp;D=yrovft&amp;AN=00008486-000000000-00000","http://ovidsp.ovid.com/ovidweb.cgi?T=JS&amp;NEWS=n&amp;CSC=Y&amp;PAGE=toc&amp;D=yrovft&amp;AN=00008486-000000000-00000")</f>
        <v>http://ovidsp.ovid.com/ovidweb.cgi?T=JS&amp;NEWS=n&amp;CSC=Y&amp;PAGE=toc&amp;D=yrovft&amp;AN=00008486-000000000-00000</v>
      </c>
      <c r="N215" s="6" t="s">
        <v>1117</v>
      </c>
      <c r="O215" s="6" t="s">
        <v>102</v>
      </c>
      <c r="P215" s="6" t="b">
        <v>0</v>
      </c>
      <c r="Q215" s="8" t="s">
        <v>1117</v>
      </c>
    </row>
    <row r="216" spans="1:17" x14ac:dyDescent="0.25">
      <c r="A216" s="4" t="s">
        <v>1002</v>
      </c>
      <c r="B216" s="6" t="s">
        <v>242</v>
      </c>
      <c r="C216" s="6" t="s">
        <v>1117</v>
      </c>
      <c r="D216" s="6" t="s">
        <v>256</v>
      </c>
      <c r="E216" s="5">
        <v>44137</v>
      </c>
      <c r="F216" s="6">
        <v>31</v>
      </c>
      <c r="G216" s="6">
        <v>1</v>
      </c>
      <c r="H216" s="6">
        <v>36</v>
      </c>
      <c r="I216" s="6">
        <v>3</v>
      </c>
      <c r="J216" s="6" t="s">
        <v>1011</v>
      </c>
      <c r="K216" s="6" t="s">
        <v>1671</v>
      </c>
      <c r="L216" s="6" t="s">
        <v>1318</v>
      </c>
      <c r="M216" s="7" t="str">
        <f>HYPERLINK("http://ovidsp.ovid.com/ovidweb.cgi?T=JS&amp;NEWS=n&amp;CSC=Y&amp;PAGE=toc&amp;D=yrovft&amp;AN=00013614-000000000-00000","http://ovidsp.ovid.com/ovidweb.cgi?T=JS&amp;NEWS=n&amp;CSC=Y&amp;PAGE=toc&amp;D=yrovft&amp;AN=00013614-000000000-00000")</f>
        <v>http://ovidsp.ovid.com/ovidweb.cgi?T=JS&amp;NEWS=n&amp;CSC=Y&amp;PAGE=toc&amp;D=yrovft&amp;AN=00013614-000000000-00000</v>
      </c>
      <c r="N216" s="6" t="s">
        <v>1117</v>
      </c>
      <c r="O216" s="6" t="s">
        <v>1094</v>
      </c>
      <c r="P216" s="6" t="b">
        <v>0</v>
      </c>
      <c r="Q216" s="8" t="s">
        <v>1117</v>
      </c>
    </row>
    <row r="217" spans="1:17" x14ac:dyDescent="0.25">
      <c r="A217" s="4" t="s">
        <v>410</v>
      </c>
      <c r="B217" s="6" t="s">
        <v>828</v>
      </c>
      <c r="C217" s="6" t="s">
        <v>1117</v>
      </c>
      <c r="D217" s="6" t="s">
        <v>256</v>
      </c>
      <c r="E217" s="5">
        <v>44137</v>
      </c>
      <c r="F217" s="6">
        <v>35</v>
      </c>
      <c r="G217" s="6">
        <v>1</v>
      </c>
      <c r="H217" s="6">
        <v>40</v>
      </c>
      <c r="I217" s="6">
        <v>3</v>
      </c>
      <c r="J217" s="6" t="s">
        <v>1011</v>
      </c>
      <c r="K217" s="6" t="s">
        <v>1671</v>
      </c>
      <c r="L217" s="6" t="s">
        <v>1318</v>
      </c>
      <c r="M217" s="7" t="str">
        <f>HYPERLINK("http://ovidsp.ovid.com/ovidweb.cgi?T=JS&amp;NEWS=n&amp;CSC=Y&amp;PAGE=toc&amp;D=yrovft&amp;AN=00011363-000000000-00000","http://ovidsp.ovid.com/ovidweb.cgi?T=JS&amp;NEWS=n&amp;CSC=Y&amp;PAGE=toc&amp;D=yrovft&amp;AN=00011363-000000000-00000")</f>
        <v>http://ovidsp.ovid.com/ovidweb.cgi?T=JS&amp;NEWS=n&amp;CSC=Y&amp;PAGE=toc&amp;D=yrovft&amp;AN=00011363-000000000-00000</v>
      </c>
      <c r="N217" s="6" t="s">
        <v>1117</v>
      </c>
      <c r="O217" s="6" t="s">
        <v>505</v>
      </c>
      <c r="P217" s="6" t="b">
        <v>0</v>
      </c>
      <c r="Q217" s="8" t="s">
        <v>1117</v>
      </c>
    </row>
    <row r="218" spans="1:17" x14ac:dyDescent="0.25">
      <c r="A218" s="4" t="s">
        <v>934</v>
      </c>
      <c r="B218" s="6" t="s">
        <v>1696</v>
      </c>
      <c r="C218" s="6" t="s">
        <v>1745</v>
      </c>
      <c r="D218" s="6" t="s">
        <v>256</v>
      </c>
      <c r="E218" s="5">
        <v>44137</v>
      </c>
      <c r="F218" s="6">
        <v>24</v>
      </c>
      <c r="G218" s="6">
        <v>1</v>
      </c>
      <c r="H218" s="6">
        <v>29</v>
      </c>
      <c r="I218" s="6">
        <v>5</v>
      </c>
      <c r="J218" s="6" t="s">
        <v>1686</v>
      </c>
      <c r="K218" s="6" t="s">
        <v>210</v>
      </c>
      <c r="L218" s="6" t="s">
        <v>739</v>
      </c>
      <c r="M218" s="7" t="str">
        <f>HYPERLINK("http://ovidsp.ovid.com/ovidweb.cgi?T=JS&amp;NEWS=n&amp;CSC=Y&amp;PAGE=toc&amp;D=yrovft&amp;AN=00002142-000000000-00000","http://ovidsp.ovid.com/ovidweb.cgi?T=JS&amp;NEWS=n&amp;CSC=Y&amp;PAGE=toc&amp;D=yrovft&amp;AN=00002142-000000000-00000")</f>
        <v>http://ovidsp.ovid.com/ovidweb.cgi?T=JS&amp;NEWS=n&amp;CSC=Y&amp;PAGE=toc&amp;D=yrovft&amp;AN=00002142-000000000-00000</v>
      </c>
      <c r="N218" s="6" t="s">
        <v>1117</v>
      </c>
      <c r="O218" s="6" t="s">
        <v>502</v>
      </c>
      <c r="P218" s="6" t="b">
        <v>0</v>
      </c>
      <c r="Q218" s="8" t="s">
        <v>1117</v>
      </c>
    </row>
    <row r="219" spans="1:17" x14ac:dyDescent="0.25">
      <c r="A219" s="4" t="s">
        <v>1269</v>
      </c>
      <c r="B219" s="6" t="s">
        <v>235</v>
      </c>
      <c r="C219" s="6" t="s">
        <v>1117</v>
      </c>
      <c r="D219" s="6" t="s">
        <v>256</v>
      </c>
      <c r="E219" s="5">
        <v>44137</v>
      </c>
      <c r="F219" s="6">
        <v>36</v>
      </c>
      <c r="G219" s="6">
        <v>1</v>
      </c>
      <c r="H219" s="6">
        <v>40</v>
      </c>
      <c r="I219" s="6">
        <v>17</v>
      </c>
      <c r="J219" s="6" t="s">
        <v>488</v>
      </c>
      <c r="K219" s="6" t="s">
        <v>1615</v>
      </c>
      <c r="L219" s="6" t="s">
        <v>154</v>
      </c>
      <c r="M219" s="7" t="str">
        <f>HYPERLINK("http://ovidsp.ovid.com/ovidweb.cgi?T=JS&amp;NEWS=n&amp;CSC=Y&amp;PAGE=toc&amp;D=yrovft&amp;AN=01938899-000000000-00000","http://ovidsp.ovid.com/ovidweb.cgi?T=JS&amp;NEWS=n&amp;CSC=Y&amp;PAGE=toc&amp;D=yrovft&amp;AN=01938899-000000000-00000")</f>
        <v>http://ovidsp.ovid.com/ovidweb.cgi?T=JS&amp;NEWS=n&amp;CSC=Y&amp;PAGE=toc&amp;D=yrovft&amp;AN=01938899-000000000-00000</v>
      </c>
      <c r="N219" s="6" t="s">
        <v>1117</v>
      </c>
      <c r="O219" s="6" t="s">
        <v>461</v>
      </c>
      <c r="P219" s="6" t="b">
        <v>0</v>
      </c>
      <c r="Q219" s="8" t="s">
        <v>1117</v>
      </c>
    </row>
    <row r="220" spans="1:17" x14ac:dyDescent="0.25">
      <c r="A220" s="4" t="s">
        <v>110</v>
      </c>
      <c r="B220" s="6" t="s">
        <v>1064</v>
      </c>
      <c r="C220" s="6" t="s">
        <v>1117</v>
      </c>
      <c r="D220" s="6" t="s">
        <v>256</v>
      </c>
      <c r="E220" s="5">
        <v>44137</v>
      </c>
      <c r="F220" s="6">
        <v>30</v>
      </c>
      <c r="G220" s="6">
        <v>6</v>
      </c>
      <c r="H220" s="6">
        <v>36</v>
      </c>
      <c r="I220" s="6">
        <v>4</v>
      </c>
      <c r="J220" s="6" t="s">
        <v>565</v>
      </c>
      <c r="K220" s="6" t="s">
        <v>1349</v>
      </c>
      <c r="L220" s="6" t="s">
        <v>1046</v>
      </c>
      <c r="M220" s="7" t="str">
        <f>HYPERLINK("http://ovidsp.ovid.com/ovidweb.cgi?T=JS&amp;NEWS=n&amp;CSC=Y&amp;PAGE=toc&amp;D=yrovft&amp;AN=00587875-000000000-00000","http://ovidsp.ovid.com/ovidweb.cgi?T=JS&amp;NEWS=n&amp;CSC=Y&amp;PAGE=toc&amp;D=yrovft&amp;AN=00587875-000000000-00000")</f>
        <v>http://ovidsp.ovid.com/ovidweb.cgi?T=JS&amp;NEWS=n&amp;CSC=Y&amp;PAGE=toc&amp;D=yrovft&amp;AN=00587875-000000000-00000</v>
      </c>
      <c r="N220" s="6" t="s">
        <v>1117</v>
      </c>
      <c r="O220" s="6" t="s">
        <v>47</v>
      </c>
      <c r="P220" s="6" t="b">
        <v>0</v>
      </c>
      <c r="Q220" s="8" t="s">
        <v>1117</v>
      </c>
    </row>
    <row r="221" spans="1:17" x14ac:dyDescent="0.25">
      <c r="A221" s="4" t="s">
        <v>876</v>
      </c>
      <c r="B221" s="6" t="s">
        <v>1067</v>
      </c>
      <c r="C221" s="6" t="s">
        <v>683</v>
      </c>
      <c r="D221" s="6" t="s">
        <v>256</v>
      </c>
      <c r="E221" s="5">
        <v>44137</v>
      </c>
      <c r="F221" s="6">
        <v>99</v>
      </c>
      <c r="G221" s="6">
        <v>2</v>
      </c>
      <c r="H221" s="6">
        <v>104</v>
      </c>
      <c r="I221" s="6">
        <v>10</v>
      </c>
      <c r="J221" s="6" t="s">
        <v>1686</v>
      </c>
      <c r="K221" s="6" t="s">
        <v>210</v>
      </c>
      <c r="L221" s="6" t="s">
        <v>739</v>
      </c>
      <c r="M221" s="7" t="str">
        <f>HYPERLINK("http://ovidsp.ovid.com/ovidweb.cgi?T=JS&amp;NEWS=n&amp;CSC=Y&amp;PAGE=toc&amp;D=yrovft&amp;AN=00007890-000000000-00000","http://ovidsp.ovid.com/ovidweb.cgi?T=JS&amp;NEWS=n&amp;CSC=Y&amp;PAGE=toc&amp;D=yrovft&amp;AN=00007890-000000000-00000")</f>
        <v>http://ovidsp.ovid.com/ovidweb.cgi?T=JS&amp;NEWS=n&amp;CSC=Y&amp;PAGE=toc&amp;D=yrovft&amp;AN=00007890-000000000-00000</v>
      </c>
      <c r="N221" s="6" t="s">
        <v>1117</v>
      </c>
      <c r="O221" s="6" t="s">
        <v>427</v>
      </c>
      <c r="P221" s="6" t="b">
        <v>1</v>
      </c>
      <c r="Q221" s="8" t="s">
        <v>782</v>
      </c>
    </row>
    <row r="222" spans="1:17" x14ac:dyDescent="0.25">
      <c r="A222" s="4" t="s">
        <v>107</v>
      </c>
      <c r="B222" s="6" t="s">
        <v>159</v>
      </c>
      <c r="C222" s="6" t="s">
        <v>683</v>
      </c>
      <c r="D222" s="6" t="s">
        <v>256</v>
      </c>
      <c r="E222" s="5">
        <v>44137</v>
      </c>
      <c r="F222" s="6">
        <v>1</v>
      </c>
      <c r="G222" s="6">
        <v>1</v>
      </c>
      <c r="H222" s="6">
        <v>6</v>
      </c>
      <c r="I222" s="6">
        <v>11</v>
      </c>
      <c r="J222" s="6" t="s">
        <v>119</v>
      </c>
      <c r="K222" s="6" t="s">
        <v>210</v>
      </c>
      <c r="L222" s="6" t="s">
        <v>1046</v>
      </c>
      <c r="M222" s="7" t="str">
        <f>HYPERLINK("http://ovidsp.ovid.com/ovidweb.cgi?T=JS&amp;NEWS=n&amp;CSC=Y&amp;PAGE=toc&amp;D=yrovft&amp;AN=01845228-000000000-00000","http://ovidsp.ovid.com/ovidweb.cgi?T=JS&amp;NEWS=n&amp;CSC=Y&amp;PAGE=toc&amp;D=yrovft&amp;AN=01845228-000000000-00000")</f>
        <v>http://ovidsp.ovid.com/ovidweb.cgi?T=JS&amp;NEWS=n&amp;CSC=Y&amp;PAGE=toc&amp;D=yrovft&amp;AN=01845228-000000000-00000</v>
      </c>
      <c r="N222" s="6" t="s">
        <v>1117</v>
      </c>
      <c r="O222" s="6" t="s">
        <v>373</v>
      </c>
      <c r="P222" s="6" t="b">
        <v>0</v>
      </c>
      <c r="Q222" s="8" t="s">
        <v>1117</v>
      </c>
    </row>
    <row r="223" spans="1:17" x14ac:dyDescent="0.25">
      <c r="A223" s="9" t="s">
        <v>200</v>
      </c>
      <c r="B223" s="11" t="s">
        <v>412</v>
      </c>
      <c r="C223" s="11" t="s">
        <v>1543</v>
      </c>
      <c r="D223" s="11" t="s">
        <v>256</v>
      </c>
      <c r="E223" s="10">
        <v>44137</v>
      </c>
      <c r="F223" s="11">
        <v>31</v>
      </c>
      <c r="G223" s="11">
        <v>1</v>
      </c>
      <c r="H223" s="11">
        <v>36</v>
      </c>
      <c r="I223" s="11">
        <v>3</v>
      </c>
      <c r="J223" s="11" t="s">
        <v>1231</v>
      </c>
      <c r="K223" s="11" t="s">
        <v>365</v>
      </c>
      <c r="L223" s="11" t="s">
        <v>553</v>
      </c>
      <c r="M223" s="12" t="str">
        <f>HYPERLINK("http://ovidsp.ovid.com/ovidweb.cgi?T=JS&amp;NEWS=n&amp;CSC=Y&amp;PAGE=toc&amp;D=yrovft&amp;AN=00013644-000000000-00000","http://ovidsp.ovid.com/ovidweb.cgi?T=JS&amp;NEWS=n&amp;CSC=Y&amp;PAGE=toc&amp;D=yrovft&amp;AN=00013644-000000000-00000")</f>
        <v>http://ovidsp.ovid.com/ovidweb.cgi?T=JS&amp;NEWS=n&amp;CSC=Y&amp;PAGE=toc&amp;D=yrovft&amp;AN=00013644-000000000-00000</v>
      </c>
      <c r="N223" s="11" t="s">
        <v>1117</v>
      </c>
      <c r="O223" s="11" t="s">
        <v>1152</v>
      </c>
      <c r="P223" s="11" t="b">
        <v>1</v>
      </c>
      <c r="Q223" s="13" t="s">
        <v>607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H196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07.5703125" bestFit="1" customWidth="1"/>
    <col min="2" max="2" width="16.85546875" bestFit="1" customWidth="1"/>
    <col min="3" max="3" width="17" bestFit="1" customWidth="1"/>
    <col min="4" max="4" width="13.42578125" bestFit="1" customWidth="1"/>
    <col min="5" max="5" width="27.42578125" bestFit="1" customWidth="1"/>
    <col min="6" max="6" width="12.140625" bestFit="1" customWidth="1"/>
    <col min="7" max="7" width="117.42578125" bestFit="1" customWidth="1"/>
    <col min="8" max="8" width="12.85546875" bestFit="1" customWidth="1"/>
  </cols>
  <sheetData>
    <row r="1" spans="1:8" x14ac:dyDescent="0.25">
      <c r="A1" s="1" t="s">
        <v>317</v>
      </c>
      <c r="B1" s="2" t="s">
        <v>714</v>
      </c>
      <c r="C1" s="2" t="s">
        <v>1702</v>
      </c>
      <c r="D1" s="2" t="s">
        <v>1473</v>
      </c>
      <c r="E1" s="2" t="s">
        <v>1224</v>
      </c>
      <c r="F1" s="2" t="s">
        <v>630</v>
      </c>
      <c r="G1" s="2" t="s">
        <v>1503</v>
      </c>
      <c r="H1" s="3" t="s">
        <v>930</v>
      </c>
    </row>
    <row r="2" spans="1:8" x14ac:dyDescent="0.25">
      <c r="A2" s="4" t="s">
        <v>392</v>
      </c>
      <c r="B2" s="5">
        <v>44137</v>
      </c>
      <c r="C2" s="6" t="s">
        <v>58</v>
      </c>
      <c r="D2" s="6" t="s">
        <v>371</v>
      </c>
      <c r="E2" s="6" t="s">
        <v>1525</v>
      </c>
      <c r="F2" s="6" t="s">
        <v>1368</v>
      </c>
      <c r="G2" s="7" t="str">
        <f>HYPERLINK("http://ovidsp.ovid.com/ovidweb.cgi?T=JS&amp;NEWS=n&amp;CSC=Y&amp;PAGE=booktext&amp;D=books&amp;AN=02118598$&amp;XPATH=/PG(0)&amp;EPUB=Y","http://ovidsp.ovid.com/ovidweb.cgi?T=JS&amp;NEWS=n&amp;CSC=Y&amp;PAGE=booktext&amp;D=books&amp;AN=02118598$&amp;XPATH=/PG(0)&amp;EPUB=Y")</f>
        <v>http://ovidsp.ovid.com/ovidweb.cgi?T=JS&amp;NEWS=n&amp;CSC=Y&amp;PAGE=booktext&amp;D=books&amp;AN=02118598$&amp;XPATH=/PG(0)&amp;EPUB=Y</v>
      </c>
      <c r="H2" s="8" t="s">
        <v>1220</v>
      </c>
    </row>
    <row r="3" spans="1:8" x14ac:dyDescent="0.25">
      <c r="A3" s="4" t="s">
        <v>655</v>
      </c>
      <c r="B3" s="5">
        <v>44137</v>
      </c>
      <c r="C3" s="6" t="s">
        <v>570</v>
      </c>
      <c r="D3" s="6" t="s">
        <v>476</v>
      </c>
      <c r="E3" s="6" t="s">
        <v>1525</v>
      </c>
      <c r="F3" s="6" t="s">
        <v>1122</v>
      </c>
      <c r="G3" s="7" t="str">
        <f>HYPERLINK("http://ovidsp.ovid.com/ovidweb.cgi?T=JS&amp;NEWS=n&amp;CSC=Y&amp;PAGE=booktext&amp;D=books&amp;AN=02091962$&amp;XPATH=/PG(0)&amp;EPUB=Y","http://ovidsp.ovid.com/ovidweb.cgi?T=JS&amp;NEWS=n&amp;CSC=Y&amp;PAGE=booktext&amp;D=books&amp;AN=02091962$&amp;XPATH=/PG(0)&amp;EPUB=Y")</f>
        <v>http://ovidsp.ovid.com/ovidweb.cgi?T=JS&amp;NEWS=n&amp;CSC=Y&amp;PAGE=booktext&amp;D=books&amp;AN=02091962$&amp;XPATH=/PG(0)&amp;EPUB=Y</v>
      </c>
      <c r="H3" s="8" t="s">
        <v>1314</v>
      </c>
    </row>
    <row r="4" spans="1:8" x14ac:dyDescent="0.25">
      <c r="A4" s="4" t="s">
        <v>1035</v>
      </c>
      <c r="B4" s="5">
        <v>44137</v>
      </c>
      <c r="C4" s="6" t="s">
        <v>1469</v>
      </c>
      <c r="D4" s="6" t="s">
        <v>1476</v>
      </c>
      <c r="E4" s="6" t="s">
        <v>1525</v>
      </c>
      <c r="F4" s="6" t="s">
        <v>444</v>
      </c>
      <c r="G4" s="7" t="str">
        <f>HYPERLINK("http://ovidsp.ovid.com/ovidweb.cgi?T=JS&amp;NEWS=n&amp;CSC=Y&amp;PAGE=booktext&amp;D=books&amp;AN=02123219$&amp;XPATH=/PG(0)&amp;EPUB=Y","http://ovidsp.ovid.com/ovidweb.cgi?T=JS&amp;NEWS=n&amp;CSC=Y&amp;PAGE=booktext&amp;D=books&amp;AN=02123219$&amp;XPATH=/PG(0)&amp;EPUB=Y")</f>
        <v>http://ovidsp.ovid.com/ovidweb.cgi?T=JS&amp;NEWS=n&amp;CSC=Y&amp;PAGE=booktext&amp;D=books&amp;AN=02123219$&amp;XPATH=/PG(0)&amp;EPUB=Y</v>
      </c>
      <c r="H4" s="8" t="s">
        <v>1220</v>
      </c>
    </row>
    <row r="5" spans="1:8" x14ac:dyDescent="0.25">
      <c r="A5" s="4" t="s">
        <v>1640</v>
      </c>
      <c r="B5" s="5">
        <v>44137</v>
      </c>
      <c r="C5" s="6" t="s">
        <v>1453</v>
      </c>
      <c r="D5" s="6" t="s">
        <v>885</v>
      </c>
      <c r="E5" s="6" t="s">
        <v>1525</v>
      </c>
      <c r="F5" s="6" t="s">
        <v>444</v>
      </c>
      <c r="G5" s="7" t="str">
        <f>HYPERLINK("http://ovidsp.ovid.com/ovidweb.cgi?T=JS&amp;NEWS=n&amp;CSC=Y&amp;PAGE=booktext&amp;D=books&amp;AN=01787263$&amp;XPATH=/PG(0)&amp;EPUB=Y","http://ovidsp.ovid.com/ovidweb.cgi?T=JS&amp;NEWS=n&amp;CSC=Y&amp;PAGE=booktext&amp;D=books&amp;AN=01787263$&amp;XPATH=/PG(0)&amp;EPUB=Y")</f>
        <v>http://ovidsp.ovid.com/ovidweb.cgi?T=JS&amp;NEWS=n&amp;CSC=Y&amp;PAGE=booktext&amp;D=books&amp;AN=01787263$&amp;XPATH=/PG(0)&amp;EPUB=Y</v>
      </c>
      <c r="H5" s="8" t="s">
        <v>1220</v>
      </c>
    </row>
    <row r="6" spans="1:8" x14ac:dyDescent="0.25">
      <c r="A6" s="4" t="s">
        <v>80</v>
      </c>
      <c r="B6" s="5">
        <v>44137</v>
      </c>
      <c r="C6" s="6" t="s">
        <v>765</v>
      </c>
      <c r="D6" s="6" t="s">
        <v>1245</v>
      </c>
      <c r="E6" s="6" t="s">
        <v>1525</v>
      </c>
      <c r="F6" s="6" t="s">
        <v>171</v>
      </c>
      <c r="G6" s="7" t="str">
        <f>HYPERLINK("http://ovidsp.ovid.com/ovidweb.cgi?T=JS&amp;NEWS=n&amp;CSC=Y&amp;PAGE=booktext&amp;D=books&amp;AN=02070851$&amp;XPATH=/PG(0)&amp;EPUB=Y","http://ovidsp.ovid.com/ovidweb.cgi?T=JS&amp;NEWS=n&amp;CSC=Y&amp;PAGE=booktext&amp;D=books&amp;AN=02070851$&amp;XPATH=/PG(0)&amp;EPUB=Y")</f>
        <v>http://ovidsp.ovid.com/ovidweb.cgi?T=JS&amp;NEWS=n&amp;CSC=Y&amp;PAGE=booktext&amp;D=books&amp;AN=02070851$&amp;XPATH=/PG(0)&amp;EPUB=Y</v>
      </c>
      <c r="H6" s="8" t="s">
        <v>1314</v>
      </c>
    </row>
    <row r="7" spans="1:8" x14ac:dyDescent="0.25">
      <c r="A7" s="4" t="s">
        <v>1178</v>
      </c>
      <c r="B7" s="5">
        <v>44137</v>
      </c>
      <c r="C7" s="6" t="s">
        <v>743</v>
      </c>
      <c r="D7" s="6" t="s">
        <v>1001</v>
      </c>
      <c r="E7" s="6" t="s">
        <v>1525</v>
      </c>
      <c r="F7" s="6" t="s">
        <v>444</v>
      </c>
      <c r="G7" s="7" t="str">
        <f>HYPERLINK("http://ovidsp.ovid.com/ovidweb.cgi?T=JS&amp;NEWS=n&amp;CSC=Y&amp;PAGE=booktext&amp;D=books&amp;AN=01893705$&amp;XPATH=/PG(0)&amp;EPUB=Y","http://ovidsp.ovid.com/ovidweb.cgi?T=JS&amp;NEWS=n&amp;CSC=Y&amp;PAGE=booktext&amp;D=books&amp;AN=01893705$&amp;XPATH=/PG(0)&amp;EPUB=Y")</f>
        <v>http://ovidsp.ovid.com/ovidweb.cgi?T=JS&amp;NEWS=n&amp;CSC=Y&amp;PAGE=booktext&amp;D=books&amp;AN=01893705$&amp;XPATH=/PG(0)&amp;EPUB=Y</v>
      </c>
      <c r="H7" s="8" t="s">
        <v>1220</v>
      </c>
    </row>
    <row r="8" spans="1:8" x14ac:dyDescent="0.25">
      <c r="A8" s="4" t="s">
        <v>623</v>
      </c>
      <c r="B8" s="5">
        <v>44137</v>
      </c>
      <c r="C8" s="6" t="s">
        <v>338</v>
      </c>
      <c r="D8" s="6" t="s">
        <v>1186</v>
      </c>
      <c r="E8" s="6" t="s">
        <v>1525</v>
      </c>
      <c r="F8" s="6" t="s">
        <v>444</v>
      </c>
      <c r="G8" s="7" t="str">
        <f>HYPERLINK("http://ovidsp.ovid.com/ovidweb.cgi?T=JS&amp;NEWS=n&amp;CSC=Y&amp;PAGE=booktext&amp;D=books&amp;AN=01735154$&amp;XPATH=/PG(0)&amp;EPUB=Y","http://ovidsp.ovid.com/ovidweb.cgi?T=JS&amp;NEWS=n&amp;CSC=Y&amp;PAGE=booktext&amp;D=books&amp;AN=01735154$&amp;XPATH=/PG(0)&amp;EPUB=Y")</f>
        <v>http://ovidsp.ovid.com/ovidweb.cgi?T=JS&amp;NEWS=n&amp;CSC=Y&amp;PAGE=booktext&amp;D=books&amp;AN=01735154$&amp;XPATH=/PG(0)&amp;EPUB=Y</v>
      </c>
      <c r="H8" s="8" t="s">
        <v>1220</v>
      </c>
    </row>
    <row r="9" spans="1:8" x14ac:dyDescent="0.25">
      <c r="A9" s="4" t="s">
        <v>644</v>
      </c>
      <c r="B9" s="5">
        <v>44137</v>
      </c>
      <c r="C9" s="6" t="s">
        <v>958</v>
      </c>
      <c r="D9" s="6" t="s">
        <v>540</v>
      </c>
      <c r="E9" s="6" t="s">
        <v>1525</v>
      </c>
      <c r="F9" s="6" t="s">
        <v>1161</v>
      </c>
      <c r="G9" s="7" t="str">
        <f>HYPERLINK("http://ovidsp.ovid.com/ovidweb.cgi?T=JS&amp;NEWS=n&amp;CSC=Y&amp;PAGE=booktext&amp;D=books&amp;AN=02014363$&amp;XPATH=/PG(0)&amp;EPUB=Y","http://ovidsp.ovid.com/ovidweb.cgi?T=JS&amp;NEWS=n&amp;CSC=Y&amp;PAGE=booktext&amp;D=books&amp;AN=02014363$&amp;XPATH=/PG(0)&amp;EPUB=Y")</f>
        <v>http://ovidsp.ovid.com/ovidweb.cgi?T=JS&amp;NEWS=n&amp;CSC=Y&amp;PAGE=booktext&amp;D=books&amp;AN=02014363$&amp;XPATH=/PG(0)&amp;EPUB=Y</v>
      </c>
      <c r="H9" s="8" t="s">
        <v>1314</v>
      </c>
    </row>
    <row r="10" spans="1:8" x14ac:dyDescent="0.25">
      <c r="A10" s="4" t="s">
        <v>1570</v>
      </c>
      <c r="B10" s="5">
        <v>44137</v>
      </c>
      <c r="C10" s="6" t="s">
        <v>436</v>
      </c>
      <c r="D10" s="6" t="s">
        <v>299</v>
      </c>
      <c r="E10" s="6" t="s">
        <v>1525</v>
      </c>
      <c r="F10" s="6" t="s">
        <v>845</v>
      </c>
      <c r="G10" s="7" t="str">
        <f>HYPERLINK("http://ovidsp.ovid.com/ovidweb.cgi?T=JS&amp;NEWS=n&amp;CSC=Y&amp;PAGE=booktext&amp;D=books&amp;AN=02003489$&amp;XPATH=/PG(0)&amp;EPUB=Y","http://ovidsp.ovid.com/ovidweb.cgi?T=JS&amp;NEWS=n&amp;CSC=Y&amp;PAGE=booktext&amp;D=books&amp;AN=02003489$&amp;XPATH=/PG(0)&amp;EPUB=Y")</f>
        <v>http://ovidsp.ovid.com/ovidweb.cgi?T=JS&amp;NEWS=n&amp;CSC=Y&amp;PAGE=booktext&amp;D=books&amp;AN=02003489$&amp;XPATH=/PG(0)&amp;EPUB=Y</v>
      </c>
      <c r="H10" s="8" t="s">
        <v>1314</v>
      </c>
    </row>
    <row r="11" spans="1:8" x14ac:dyDescent="0.25">
      <c r="A11" s="4" t="s">
        <v>504</v>
      </c>
      <c r="B11" s="5">
        <v>44137</v>
      </c>
      <c r="C11" s="6" t="s">
        <v>600</v>
      </c>
      <c r="D11" s="6" t="s">
        <v>1099</v>
      </c>
      <c r="E11" s="6" t="s">
        <v>1525</v>
      </c>
      <c r="F11" s="6" t="s">
        <v>1277</v>
      </c>
      <c r="G11" s="7" t="str">
        <f>HYPERLINK("http://ovidsp.ovid.com/ovidweb.cgi?T=JS&amp;NEWS=n&amp;CSC=Y&amp;PAGE=booktext&amp;D=books&amp;AN=02163061$&amp;XPATH=/PG(0)&amp;EPUB=Y","http://ovidsp.ovid.com/ovidweb.cgi?T=JS&amp;NEWS=n&amp;CSC=Y&amp;PAGE=booktext&amp;D=books&amp;AN=02163061$&amp;XPATH=/PG(0)&amp;EPUB=Y")</f>
        <v>http://ovidsp.ovid.com/ovidweb.cgi?T=JS&amp;NEWS=n&amp;CSC=Y&amp;PAGE=booktext&amp;D=books&amp;AN=02163061$&amp;XPATH=/PG(0)&amp;EPUB=Y</v>
      </c>
      <c r="H11" s="8" t="s">
        <v>1220</v>
      </c>
    </row>
    <row r="12" spans="1:8" x14ac:dyDescent="0.25">
      <c r="A12" s="4" t="s">
        <v>1529</v>
      </c>
      <c r="B12" s="5">
        <v>44137</v>
      </c>
      <c r="C12" s="6" t="s">
        <v>483</v>
      </c>
      <c r="D12" s="6" t="s">
        <v>811</v>
      </c>
      <c r="E12" s="6" t="s">
        <v>1525</v>
      </c>
      <c r="F12" s="6" t="s">
        <v>444</v>
      </c>
      <c r="G12" s="7" t="str">
        <f>HYPERLINK("http://ovidsp.ovid.com/ovidweb.cgi?T=JS&amp;NEWS=n&amp;CSC=Y&amp;PAGE=booktext&amp;D=books&amp;AN=02091978$&amp;XPATH=/PG(0)&amp;EPUB=Y","http://ovidsp.ovid.com/ovidweb.cgi?T=JS&amp;NEWS=n&amp;CSC=Y&amp;PAGE=booktext&amp;D=books&amp;AN=02091978$&amp;XPATH=/PG(0)&amp;EPUB=Y")</f>
        <v>http://ovidsp.ovid.com/ovidweb.cgi?T=JS&amp;NEWS=n&amp;CSC=Y&amp;PAGE=booktext&amp;D=books&amp;AN=02091978$&amp;XPATH=/PG(0)&amp;EPUB=Y</v>
      </c>
      <c r="H12" s="8" t="s">
        <v>1220</v>
      </c>
    </row>
    <row r="13" spans="1:8" x14ac:dyDescent="0.25">
      <c r="A13" s="4" t="s">
        <v>319</v>
      </c>
      <c r="B13" s="5">
        <v>44137</v>
      </c>
      <c r="C13" s="6" t="s">
        <v>1325</v>
      </c>
      <c r="D13" s="6" t="s">
        <v>1033</v>
      </c>
      <c r="E13" s="6" t="s">
        <v>1525</v>
      </c>
      <c r="F13" s="6" t="s">
        <v>845</v>
      </c>
      <c r="G13" s="7" t="str">
        <f>HYPERLINK("http://ovidsp.ovid.com/ovidweb.cgi?T=JS&amp;NEWS=n&amp;CSC=Y&amp;PAGE=booktext&amp;D=books&amp;AN=01899892$&amp;XPATH=/PG(0)&amp;EPUB=Y","http://ovidsp.ovid.com/ovidweb.cgi?T=JS&amp;NEWS=n&amp;CSC=Y&amp;PAGE=booktext&amp;D=books&amp;AN=01899892$&amp;XPATH=/PG(0)&amp;EPUB=Y")</f>
        <v>http://ovidsp.ovid.com/ovidweb.cgi?T=JS&amp;NEWS=n&amp;CSC=Y&amp;PAGE=booktext&amp;D=books&amp;AN=01899892$&amp;XPATH=/PG(0)&amp;EPUB=Y</v>
      </c>
      <c r="H13" s="8" t="s">
        <v>1314</v>
      </c>
    </row>
    <row r="14" spans="1:8" x14ac:dyDescent="0.25">
      <c r="A14" s="4" t="s">
        <v>496</v>
      </c>
      <c r="B14" s="5">
        <v>44137</v>
      </c>
      <c r="C14" s="6" t="s">
        <v>325</v>
      </c>
      <c r="D14" s="6" t="s">
        <v>1293</v>
      </c>
      <c r="E14" s="6" t="s">
        <v>1525</v>
      </c>
      <c r="F14" s="6" t="s">
        <v>171</v>
      </c>
      <c r="G14" s="7" t="str">
        <f>HYPERLINK("http://ovidsp.ovid.com/ovidweb.cgi?T=JS&amp;NEWS=n&amp;CSC=Y&amp;PAGE=booktext&amp;D=books&amp;AN=02029590$&amp;XPATH=/PG(0)&amp;EPUB=Y","http://ovidsp.ovid.com/ovidweb.cgi?T=JS&amp;NEWS=n&amp;CSC=Y&amp;PAGE=booktext&amp;D=books&amp;AN=02029590$&amp;XPATH=/PG(0)&amp;EPUB=Y")</f>
        <v>http://ovidsp.ovid.com/ovidweb.cgi?T=JS&amp;NEWS=n&amp;CSC=Y&amp;PAGE=booktext&amp;D=books&amp;AN=02029590$&amp;XPATH=/PG(0)&amp;EPUB=Y</v>
      </c>
      <c r="H14" s="8" t="s">
        <v>1220</v>
      </c>
    </row>
    <row r="15" spans="1:8" x14ac:dyDescent="0.25">
      <c r="A15" s="4" t="s">
        <v>223</v>
      </c>
      <c r="B15" s="5">
        <v>44137</v>
      </c>
      <c r="C15" s="6" t="s">
        <v>747</v>
      </c>
      <c r="D15" s="6" t="s">
        <v>741</v>
      </c>
      <c r="E15" s="6" t="s">
        <v>1525</v>
      </c>
      <c r="F15" s="6" t="s">
        <v>171</v>
      </c>
      <c r="G15" s="7" t="str">
        <f>HYPERLINK("http://ovidsp.ovid.com/ovidweb.cgi?T=JS&amp;NEWS=n&amp;CSC=Y&amp;PAGE=booktext&amp;D=books&amp;AN=01996194$&amp;XPATH=/PG(0)&amp;EPUB=Y","http://ovidsp.ovid.com/ovidweb.cgi?T=JS&amp;NEWS=n&amp;CSC=Y&amp;PAGE=booktext&amp;D=books&amp;AN=01996194$&amp;XPATH=/PG(0)&amp;EPUB=Y")</f>
        <v>http://ovidsp.ovid.com/ovidweb.cgi?T=JS&amp;NEWS=n&amp;CSC=Y&amp;PAGE=booktext&amp;D=books&amp;AN=01996194$&amp;XPATH=/PG(0)&amp;EPUB=Y</v>
      </c>
      <c r="H15" s="8" t="s">
        <v>1314</v>
      </c>
    </row>
    <row r="16" spans="1:8" x14ac:dyDescent="0.25">
      <c r="A16" s="4" t="s">
        <v>753</v>
      </c>
      <c r="B16" s="5">
        <v>44137</v>
      </c>
      <c r="C16" s="6" t="s">
        <v>198</v>
      </c>
      <c r="D16" s="6" t="s">
        <v>1719</v>
      </c>
      <c r="E16" s="6" t="s">
        <v>1525</v>
      </c>
      <c r="F16" s="6" t="s">
        <v>1092</v>
      </c>
      <c r="G16" s="7" t="str">
        <f>HYPERLINK("http://ovidsp.ovid.com/ovidweb.cgi?T=JS&amp;NEWS=n&amp;CSC=Y&amp;PAGE=booktext&amp;D=books&amp;AN=02174555$&amp;XPATH=/PG(0)&amp;EPUB=Y","http://ovidsp.ovid.com/ovidweb.cgi?T=JS&amp;NEWS=n&amp;CSC=Y&amp;PAGE=booktext&amp;D=books&amp;AN=02174555$&amp;XPATH=/PG(0)&amp;EPUB=Y")</f>
        <v>http://ovidsp.ovid.com/ovidweb.cgi?T=JS&amp;NEWS=n&amp;CSC=Y&amp;PAGE=booktext&amp;D=books&amp;AN=02174555$&amp;XPATH=/PG(0)&amp;EPUB=Y</v>
      </c>
      <c r="H16" s="8" t="s">
        <v>1220</v>
      </c>
    </row>
    <row r="17" spans="1:8" x14ac:dyDescent="0.25">
      <c r="A17" s="4" t="s">
        <v>748</v>
      </c>
      <c r="B17" s="5">
        <v>44137</v>
      </c>
      <c r="C17" s="6" t="s">
        <v>633</v>
      </c>
      <c r="D17" s="6" t="s">
        <v>1019</v>
      </c>
      <c r="E17" s="6" t="s">
        <v>1525</v>
      </c>
      <c r="F17" s="6" t="s">
        <v>1092</v>
      </c>
      <c r="G17" s="7" t="str">
        <f>HYPERLINK("http://ovidsp.ovid.com/ovidweb.cgi?T=JS&amp;NEWS=n&amp;CSC=Y&amp;PAGE=booktext&amp;D=books&amp;AN=01735165$&amp;XPATH=/PG(0)&amp;EPUB=Y","http://ovidsp.ovid.com/ovidweb.cgi?T=JS&amp;NEWS=n&amp;CSC=Y&amp;PAGE=booktext&amp;D=books&amp;AN=01735165$&amp;XPATH=/PG(0)&amp;EPUB=Y")</f>
        <v>http://ovidsp.ovid.com/ovidweb.cgi?T=JS&amp;NEWS=n&amp;CSC=Y&amp;PAGE=booktext&amp;D=books&amp;AN=01735165$&amp;XPATH=/PG(0)&amp;EPUB=Y</v>
      </c>
      <c r="H17" s="8" t="s">
        <v>1220</v>
      </c>
    </row>
    <row r="18" spans="1:8" x14ac:dyDescent="0.25">
      <c r="A18" s="4" t="s">
        <v>1332</v>
      </c>
      <c r="B18" s="5">
        <v>44137</v>
      </c>
      <c r="C18" s="6" t="s">
        <v>455</v>
      </c>
      <c r="D18" s="6" t="s">
        <v>1124</v>
      </c>
      <c r="E18" s="6" t="s">
        <v>1525</v>
      </c>
      <c r="F18" s="6" t="s">
        <v>1277</v>
      </c>
      <c r="G18" s="7" t="str">
        <f>HYPERLINK("http://ovidsp.ovid.com/ovidweb.cgi?T=JS&amp;NEWS=n&amp;CSC=Y&amp;PAGE=booktext&amp;D=books&amp;AN=01838285$&amp;XPATH=/PG(0)&amp;EPUB=Y","http://ovidsp.ovid.com/ovidweb.cgi?T=JS&amp;NEWS=n&amp;CSC=Y&amp;PAGE=booktext&amp;D=books&amp;AN=01838285$&amp;XPATH=/PG(0)&amp;EPUB=Y")</f>
        <v>http://ovidsp.ovid.com/ovidweb.cgi?T=JS&amp;NEWS=n&amp;CSC=Y&amp;PAGE=booktext&amp;D=books&amp;AN=01838285$&amp;XPATH=/PG(0)&amp;EPUB=Y</v>
      </c>
      <c r="H18" s="8" t="s">
        <v>1220</v>
      </c>
    </row>
    <row r="19" spans="1:8" x14ac:dyDescent="0.25">
      <c r="A19" s="4" t="s">
        <v>32</v>
      </c>
      <c r="B19" s="5">
        <v>44137</v>
      </c>
      <c r="C19" s="6" t="s">
        <v>186</v>
      </c>
      <c r="D19" s="6" t="s">
        <v>1422</v>
      </c>
      <c r="E19" s="6" t="s">
        <v>1525</v>
      </c>
      <c r="F19" s="6" t="s">
        <v>787</v>
      </c>
      <c r="G19" s="7" t="str">
        <f>HYPERLINK("http://ovidsp.ovid.com/ovidweb.cgi?T=JS&amp;NEWS=n&amp;CSC=Y&amp;PAGE=booktext&amp;D=books&amp;AN=02118595$&amp;XPATH=/PG(0)&amp;EPUB=Y","http://ovidsp.ovid.com/ovidweb.cgi?T=JS&amp;NEWS=n&amp;CSC=Y&amp;PAGE=booktext&amp;D=books&amp;AN=02118595$&amp;XPATH=/PG(0)&amp;EPUB=Y")</f>
        <v>http://ovidsp.ovid.com/ovidweb.cgi?T=JS&amp;NEWS=n&amp;CSC=Y&amp;PAGE=booktext&amp;D=books&amp;AN=02118595$&amp;XPATH=/PG(0)&amp;EPUB=Y</v>
      </c>
      <c r="H19" s="8" t="s">
        <v>1220</v>
      </c>
    </row>
    <row r="20" spans="1:8" x14ac:dyDescent="0.25">
      <c r="A20" s="4" t="s">
        <v>93</v>
      </c>
      <c r="B20" s="5">
        <v>44137</v>
      </c>
      <c r="C20" s="6" t="s">
        <v>1205</v>
      </c>
      <c r="D20" s="6" t="s">
        <v>387</v>
      </c>
      <c r="E20" s="6" t="s">
        <v>1525</v>
      </c>
      <c r="F20" s="6" t="s">
        <v>1161</v>
      </c>
      <c r="G20" s="7" t="str">
        <f>HYPERLINK("http://ovidsp.ovid.com/ovidweb.cgi?T=JS&amp;NEWS=n&amp;CSC=Y&amp;PAGE=booktext&amp;D=books&amp;AN=02070805$&amp;XPATH=/PG(0)&amp;EPUB=Y","http://ovidsp.ovid.com/ovidweb.cgi?T=JS&amp;NEWS=n&amp;CSC=Y&amp;PAGE=booktext&amp;D=books&amp;AN=02070805$&amp;XPATH=/PG(0)&amp;EPUB=Y")</f>
        <v>http://ovidsp.ovid.com/ovidweb.cgi?T=JS&amp;NEWS=n&amp;CSC=Y&amp;PAGE=booktext&amp;D=books&amp;AN=02070805$&amp;XPATH=/PG(0)&amp;EPUB=Y</v>
      </c>
      <c r="H20" s="8" t="s">
        <v>1314</v>
      </c>
    </row>
    <row r="21" spans="1:8" x14ac:dyDescent="0.25">
      <c r="A21" s="4" t="s">
        <v>104</v>
      </c>
      <c r="B21" s="5">
        <v>44137</v>
      </c>
      <c r="C21" s="6" t="s">
        <v>1490</v>
      </c>
      <c r="D21" s="6" t="s">
        <v>1303</v>
      </c>
      <c r="E21" s="6" t="s">
        <v>1525</v>
      </c>
      <c r="F21" s="6" t="s">
        <v>1092</v>
      </c>
      <c r="G21" s="7" t="str">
        <f>HYPERLINK("http://ovidsp.ovid.com/ovidweb.cgi?T=JS&amp;NEWS=n&amp;CSC=Y&amp;PAGE=booktext&amp;D=books&amp;AN=02060352$&amp;XPATH=/PG(0)&amp;EPUB=Y","http://ovidsp.ovid.com/ovidweb.cgi?T=JS&amp;NEWS=n&amp;CSC=Y&amp;PAGE=booktext&amp;D=books&amp;AN=02060352$&amp;XPATH=/PG(0)&amp;EPUB=Y")</f>
        <v>http://ovidsp.ovid.com/ovidweb.cgi?T=JS&amp;NEWS=n&amp;CSC=Y&amp;PAGE=booktext&amp;D=books&amp;AN=02060352$&amp;XPATH=/PG(0)&amp;EPUB=Y</v>
      </c>
      <c r="H21" s="8" t="s">
        <v>1220</v>
      </c>
    </row>
    <row r="22" spans="1:8" x14ac:dyDescent="0.25">
      <c r="A22" s="4" t="s">
        <v>890</v>
      </c>
      <c r="B22" s="5">
        <v>44137</v>
      </c>
      <c r="C22" s="6" t="s">
        <v>306</v>
      </c>
      <c r="D22" s="6" t="s">
        <v>1379</v>
      </c>
      <c r="E22" s="6" t="s">
        <v>1525</v>
      </c>
      <c r="F22" s="6" t="s">
        <v>171</v>
      </c>
      <c r="G22" s="7" t="str">
        <f>HYPERLINK("http://ovidsp.ovid.com/ovidweb.cgi?T=JS&amp;NEWS=n&amp;CSC=Y&amp;PAGE=booktext&amp;D=books&amp;AN=01974528$&amp;XPATH=/PG(0)&amp;EPUB=Y","http://ovidsp.ovid.com/ovidweb.cgi?T=JS&amp;NEWS=n&amp;CSC=Y&amp;PAGE=booktext&amp;D=books&amp;AN=01974528$&amp;XPATH=/PG(0)&amp;EPUB=Y")</f>
        <v>http://ovidsp.ovid.com/ovidweb.cgi?T=JS&amp;NEWS=n&amp;CSC=Y&amp;PAGE=booktext&amp;D=books&amp;AN=01974528$&amp;XPATH=/PG(0)&amp;EPUB=Y</v>
      </c>
      <c r="H22" s="8" t="s">
        <v>1220</v>
      </c>
    </row>
    <row r="23" spans="1:8" x14ac:dyDescent="0.25">
      <c r="A23" s="4" t="s">
        <v>1155</v>
      </c>
      <c r="B23" s="5">
        <v>44137</v>
      </c>
      <c r="C23" s="6" t="s">
        <v>806</v>
      </c>
      <c r="D23" s="6" t="s">
        <v>770</v>
      </c>
      <c r="E23" s="6" t="s">
        <v>1525</v>
      </c>
      <c r="F23" s="6" t="s">
        <v>1092</v>
      </c>
      <c r="G23" s="7" t="str">
        <f>HYPERLINK("http://ovidsp.ovid.com/ovidweb.cgi?T=JS&amp;NEWS=n&amp;CSC=Y&amp;PAGE=booktext&amp;D=books&amp;AN=02097252$&amp;XPATH=/PG(0)&amp;EPUB=Y","http://ovidsp.ovid.com/ovidweb.cgi?T=JS&amp;NEWS=n&amp;CSC=Y&amp;PAGE=booktext&amp;D=books&amp;AN=02097252$&amp;XPATH=/PG(0)&amp;EPUB=Y")</f>
        <v>http://ovidsp.ovid.com/ovidweb.cgi?T=JS&amp;NEWS=n&amp;CSC=Y&amp;PAGE=booktext&amp;D=books&amp;AN=02097252$&amp;XPATH=/PG(0)&amp;EPUB=Y</v>
      </c>
      <c r="H23" s="8" t="s">
        <v>1314</v>
      </c>
    </row>
    <row r="24" spans="1:8" x14ac:dyDescent="0.25">
      <c r="A24" s="4" t="s">
        <v>928</v>
      </c>
      <c r="B24" s="5">
        <v>44137</v>
      </c>
      <c r="C24" s="6" t="s">
        <v>494</v>
      </c>
      <c r="D24" s="6" t="s">
        <v>1709</v>
      </c>
      <c r="E24" s="6" t="s">
        <v>1525</v>
      </c>
      <c r="F24" s="6" t="s">
        <v>1092</v>
      </c>
      <c r="G24" s="7" t="str">
        <f>HYPERLINK("http://ovidsp.ovid.com/ovidweb.cgi?T=JS&amp;NEWS=n&amp;CSC=Y&amp;PAGE=booktext&amp;D=books&amp;AN=02097253$&amp;XPATH=/PG(0)&amp;EPUB=Y","http://ovidsp.ovid.com/ovidweb.cgi?T=JS&amp;NEWS=n&amp;CSC=Y&amp;PAGE=booktext&amp;D=books&amp;AN=02097253$&amp;XPATH=/PG(0)&amp;EPUB=Y")</f>
        <v>http://ovidsp.ovid.com/ovidweb.cgi?T=JS&amp;NEWS=n&amp;CSC=Y&amp;PAGE=booktext&amp;D=books&amp;AN=02097253$&amp;XPATH=/PG(0)&amp;EPUB=Y</v>
      </c>
      <c r="H24" s="8" t="s">
        <v>1314</v>
      </c>
    </row>
    <row r="25" spans="1:8" x14ac:dyDescent="0.25">
      <c r="A25" s="4" t="s">
        <v>615</v>
      </c>
      <c r="B25" s="5">
        <v>44137</v>
      </c>
      <c r="C25" s="6" t="s">
        <v>949</v>
      </c>
      <c r="D25" s="6" t="s">
        <v>1102</v>
      </c>
      <c r="E25" s="6" t="s">
        <v>1525</v>
      </c>
      <c r="F25" s="6" t="s">
        <v>1161</v>
      </c>
      <c r="G25" s="7" t="str">
        <f>HYPERLINK("http://ovidsp.ovid.com/ovidweb.cgi?T=JS&amp;NEWS=n&amp;CSC=Y&amp;PAGE=booktext&amp;D=books&amp;AN=02118615$&amp;XPATH=/PG(0)&amp;EPUB=Y","http://ovidsp.ovid.com/ovidweb.cgi?T=JS&amp;NEWS=n&amp;CSC=Y&amp;PAGE=booktext&amp;D=books&amp;AN=02118615$&amp;XPATH=/PG(0)&amp;EPUB=Y")</f>
        <v>http://ovidsp.ovid.com/ovidweb.cgi?T=JS&amp;NEWS=n&amp;CSC=Y&amp;PAGE=booktext&amp;D=books&amp;AN=02118615$&amp;XPATH=/PG(0)&amp;EPUB=Y</v>
      </c>
      <c r="H25" s="8" t="s">
        <v>1220</v>
      </c>
    </row>
    <row r="26" spans="1:8" x14ac:dyDescent="0.25">
      <c r="A26" s="4" t="s">
        <v>718</v>
      </c>
      <c r="B26" s="5">
        <v>44137</v>
      </c>
      <c r="C26" s="6" t="s">
        <v>492</v>
      </c>
      <c r="D26" s="6" t="s">
        <v>896</v>
      </c>
      <c r="E26" s="6" t="s">
        <v>1525</v>
      </c>
      <c r="F26" s="6" t="s">
        <v>1277</v>
      </c>
      <c r="G26" s="7" t="str">
        <f>HYPERLINK("http://ovidsp.ovid.com/ovidweb.cgi?T=JS&amp;NEWS=n&amp;CSC=Y&amp;PAGE=booktext&amp;D=books&amp;AN=02070855$&amp;XPATH=/PG(0)&amp;EPUB=Y","http://ovidsp.ovid.com/ovidweb.cgi?T=JS&amp;NEWS=n&amp;CSC=Y&amp;PAGE=booktext&amp;D=books&amp;AN=02070855$&amp;XPATH=/PG(0)&amp;EPUB=Y")</f>
        <v>http://ovidsp.ovid.com/ovidweb.cgi?T=JS&amp;NEWS=n&amp;CSC=Y&amp;PAGE=booktext&amp;D=books&amp;AN=02070855$&amp;XPATH=/PG(0)&amp;EPUB=Y</v>
      </c>
      <c r="H26" s="8" t="s">
        <v>1314</v>
      </c>
    </row>
    <row r="27" spans="1:8" x14ac:dyDescent="0.25">
      <c r="A27" s="4" t="s">
        <v>1574</v>
      </c>
      <c r="B27" s="5">
        <v>44137</v>
      </c>
      <c r="C27" s="6" t="s">
        <v>406</v>
      </c>
      <c r="D27" s="6" t="s">
        <v>341</v>
      </c>
      <c r="E27" s="6" t="s">
        <v>1525</v>
      </c>
      <c r="F27" s="6" t="s">
        <v>1161</v>
      </c>
      <c r="G27" s="7" t="str">
        <f>HYPERLINK("http://ovidsp.ovid.com/ovidweb.cgi?T=JS&amp;NEWS=n&amp;CSC=Y&amp;PAGE=booktext&amp;D=books&amp;AN=01899884$&amp;XPATH=/PG(0)&amp;EPUB=Y","http://ovidsp.ovid.com/ovidweb.cgi?T=JS&amp;NEWS=n&amp;CSC=Y&amp;PAGE=booktext&amp;D=books&amp;AN=01899884$&amp;XPATH=/PG(0)&amp;EPUB=Y")</f>
        <v>http://ovidsp.ovid.com/ovidweb.cgi?T=JS&amp;NEWS=n&amp;CSC=Y&amp;PAGE=booktext&amp;D=books&amp;AN=01899884$&amp;XPATH=/PG(0)&amp;EPUB=Y</v>
      </c>
      <c r="H27" s="8" t="s">
        <v>1220</v>
      </c>
    </row>
    <row r="28" spans="1:8" x14ac:dyDescent="0.25">
      <c r="A28" s="4" t="s">
        <v>114</v>
      </c>
      <c r="B28" s="5">
        <v>44137</v>
      </c>
      <c r="C28" s="6" t="s">
        <v>177</v>
      </c>
      <c r="D28" s="6" t="s">
        <v>63</v>
      </c>
      <c r="E28" s="6" t="s">
        <v>1525</v>
      </c>
      <c r="F28" s="6" t="s">
        <v>1092</v>
      </c>
      <c r="G28" s="7" t="str">
        <f>HYPERLINK("http://ovidsp.ovid.com/ovidweb.cgi?T=JS&amp;NEWS=n&amp;CSC=Y&amp;PAGE=booktext&amp;D=books&amp;AN=01979434$&amp;XPATH=/PG(0)&amp;EPUB=Y","http://ovidsp.ovid.com/ovidweb.cgi?T=JS&amp;NEWS=n&amp;CSC=Y&amp;PAGE=booktext&amp;D=books&amp;AN=01979434$&amp;XPATH=/PG(0)&amp;EPUB=Y")</f>
        <v>http://ovidsp.ovid.com/ovidweb.cgi?T=JS&amp;NEWS=n&amp;CSC=Y&amp;PAGE=booktext&amp;D=books&amp;AN=01979434$&amp;XPATH=/PG(0)&amp;EPUB=Y</v>
      </c>
      <c r="H28" s="8" t="s">
        <v>1220</v>
      </c>
    </row>
    <row r="29" spans="1:8" x14ac:dyDescent="0.25">
      <c r="A29" s="4" t="s">
        <v>441</v>
      </c>
      <c r="B29" s="5">
        <v>44137</v>
      </c>
      <c r="C29" s="6" t="s">
        <v>975</v>
      </c>
      <c r="D29" s="6" t="s">
        <v>857</v>
      </c>
      <c r="E29" s="6" t="s">
        <v>1525</v>
      </c>
      <c r="F29" s="6" t="s">
        <v>845</v>
      </c>
      <c r="G29" s="7" t="str">
        <f>HYPERLINK("http://ovidsp.ovid.com/ovidweb.cgi?T=JS&amp;NEWS=n&amp;CSC=Y&amp;PAGE=booktext&amp;D=books&amp;AN=02168244$&amp;XPATH=/PG(0)&amp;EPUB=Y","http://ovidsp.ovid.com/ovidweb.cgi?T=JS&amp;NEWS=n&amp;CSC=Y&amp;PAGE=booktext&amp;D=books&amp;AN=02168244$&amp;XPATH=/PG(0)&amp;EPUB=Y")</f>
        <v>http://ovidsp.ovid.com/ovidweb.cgi?T=JS&amp;NEWS=n&amp;CSC=Y&amp;PAGE=booktext&amp;D=books&amp;AN=02168244$&amp;XPATH=/PG(0)&amp;EPUB=Y</v>
      </c>
      <c r="H29" s="8" t="s">
        <v>1220</v>
      </c>
    </row>
    <row r="30" spans="1:8" x14ac:dyDescent="0.25">
      <c r="A30" s="4" t="s">
        <v>1285</v>
      </c>
      <c r="B30" s="5">
        <v>44137</v>
      </c>
      <c r="C30" s="6" t="s">
        <v>961</v>
      </c>
      <c r="D30" s="6" t="s">
        <v>559</v>
      </c>
      <c r="E30" s="6" t="s">
        <v>1525</v>
      </c>
      <c r="F30" s="6" t="s">
        <v>845</v>
      </c>
      <c r="G30" s="7" t="str">
        <f>HYPERLINK("http://ovidsp.ovid.com/ovidweb.cgi?T=JS&amp;NEWS=n&amp;CSC=Y&amp;PAGE=booktext&amp;D=books&amp;AN=02097254$&amp;XPATH=/PG(0)&amp;EPUB=Y","http://ovidsp.ovid.com/ovidweb.cgi?T=JS&amp;NEWS=n&amp;CSC=Y&amp;PAGE=booktext&amp;D=books&amp;AN=02097254$&amp;XPATH=/PG(0)&amp;EPUB=Y")</f>
        <v>http://ovidsp.ovid.com/ovidweb.cgi?T=JS&amp;NEWS=n&amp;CSC=Y&amp;PAGE=booktext&amp;D=books&amp;AN=02097254$&amp;XPATH=/PG(0)&amp;EPUB=Y</v>
      </c>
      <c r="H30" s="8" t="s">
        <v>1314</v>
      </c>
    </row>
    <row r="31" spans="1:8" x14ac:dyDescent="0.25">
      <c r="A31" s="4" t="s">
        <v>1541</v>
      </c>
      <c r="B31" s="5">
        <v>44137</v>
      </c>
      <c r="C31" s="6" t="s">
        <v>1192</v>
      </c>
      <c r="D31" s="6" t="s">
        <v>1197</v>
      </c>
      <c r="E31" s="6" t="s">
        <v>1525</v>
      </c>
      <c r="F31" s="6" t="s">
        <v>1277</v>
      </c>
      <c r="G31" s="7" t="str">
        <f>HYPERLINK("http://ovidsp.ovid.com/ovidweb.cgi?T=JS&amp;NEWS=n&amp;CSC=Y&amp;PAGE=booktext&amp;D=books&amp;AN=02174537$&amp;XPATH=/PG(0)&amp;EPUB=Y","http://ovidsp.ovid.com/ovidweb.cgi?T=JS&amp;NEWS=n&amp;CSC=Y&amp;PAGE=booktext&amp;D=books&amp;AN=02174537$&amp;XPATH=/PG(0)&amp;EPUB=Y")</f>
        <v>http://ovidsp.ovid.com/ovidweb.cgi?T=JS&amp;NEWS=n&amp;CSC=Y&amp;PAGE=booktext&amp;D=books&amp;AN=02174537$&amp;XPATH=/PG(0)&amp;EPUB=Y</v>
      </c>
      <c r="H31" s="8" t="s">
        <v>1220</v>
      </c>
    </row>
    <row r="32" spans="1:8" x14ac:dyDescent="0.25">
      <c r="A32" s="4" t="s">
        <v>521</v>
      </c>
      <c r="B32" s="5">
        <v>44137</v>
      </c>
      <c r="C32" s="6" t="s">
        <v>1592</v>
      </c>
      <c r="D32" s="6" t="s">
        <v>594</v>
      </c>
      <c r="E32" s="6" t="s">
        <v>1525</v>
      </c>
      <c r="F32" s="6" t="s">
        <v>1092</v>
      </c>
      <c r="G32" s="7" t="str">
        <f>HYPERLINK("http://ovidsp.ovid.com/ovidweb.cgi?T=JS&amp;NEWS=n&amp;CSC=Y&amp;PAGE=booktext&amp;D=books&amp;AN=02134429$&amp;XPATH=/PG(0)&amp;EPUB=Y","http://ovidsp.ovid.com/ovidweb.cgi?T=JS&amp;NEWS=n&amp;CSC=Y&amp;PAGE=booktext&amp;D=books&amp;AN=02134429$&amp;XPATH=/PG(0)&amp;EPUB=Y")</f>
        <v>http://ovidsp.ovid.com/ovidweb.cgi?T=JS&amp;NEWS=n&amp;CSC=Y&amp;PAGE=booktext&amp;D=books&amp;AN=02134429$&amp;XPATH=/PG(0)&amp;EPUB=Y</v>
      </c>
      <c r="H32" s="8" t="s">
        <v>1220</v>
      </c>
    </row>
    <row r="33" spans="1:8" x14ac:dyDescent="0.25">
      <c r="A33" s="4" t="s">
        <v>125</v>
      </c>
      <c r="B33" s="5">
        <v>44137</v>
      </c>
      <c r="C33" s="6" t="s">
        <v>1651</v>
      </c>
      <c r="D33" s="6" t="s">
        <v>1006</v>
      </c>
      <c r="E33" s="6" t="s">
        <v>1525</v>
      </c>
      <c r="F33" s="6" t="s">
        <v>1092</v>
      </c>
      <c r="G33" s="7" t="str">
        <f>HYPERLINK("http://ovidsp.ovid.com/ovidweb.cgi?T=JS&amp;NEWS=n&amp;CSC=Y&amp;PAGE=booktext&amp;D=books&amp;AN=02148837$&amp;XPATH=/PG(0)&amp;EPUB=Y","http://ovidsp.ovid.com/ovidweb.cgi?T=JS&amp;NEWS=n&amp;CSC=Y&amp;PAGE=booktext&amp;D=books&amp;AN=02148837$&amp;XPATH=/PG(0)&amp;EPUB=Y")</f>
        <v>http://ovidsp.ovid.com/ovidweb.cgi?T=JS&amp;NEWS=n&amp;CSC=Y&amp;PAGE=booktext&amp;D=books&amp;AN=02148837$&amp;XPATH=/PG(0)&amp;EPUB=Y</v>
      </c>
      <c r="H33" s="8" t="s">
        <v>1220</v>
      </c>
    </row>
    <row r="34" spans="1:8" x14ac:dyDescent="0.25">
      <c r="A34" s="4" t="s">
        <v>1075</v>
      </c>
      <c r="B34" s="5">
        <v>44137</v>
      </c>
      <c r="C34" s="6" t="s">
        <v>1021</v>
      </c>
      <c r="D34" s="6" t="s">
        <v>738</v>
      </c>
      <c r="E34" s="6" t="s">
        <v>1525</v>
      </c>
      <c r="F34" s="6" t="s">
        <v>1092</v>
      </c>
      <c r="G34" s="7" t="str">
        <f>HYPERLINK("http://ovidsp.ovid.com/ovidweb.cgi?T=JS&amp;NEWS=n&amp;CSC=Y&amp;PAGE=booktext&amp;D=books&amp;AN=02158036$&amp;XPATH=/PG(0)&amp;EPUB=Y","http://ovidsp.ovid.com/ovidweb.cgi?T=JS&amp;NEWS=n&amp;CSC=Y&amp;PAGE=booktext&amp;D=books&amp;AN=02158036$&amp;XPATH=/PG(0)&amp;EPUB=Y")</f>
        <v>http://ovidsp.ovid.com/ovidweb.cgi?T=JS&amp;NEWS=n&amp;CSC=Y&amp;PAGE=booktext&amp;D=books&amp;AN=02158036$&amp;XPATH=/PG(0)&amp;EPUB=Y</v>
      </c>
      <c r="H34" s="8" t="s">
        <v>1220</v>
      </c>
    </row>
    <row r="35" spans="1:8" x14ac:dyDescent="0.25">
      <c r="A35" s="4" t="s">
        <v>1445</v>
      </c>
      <c r="B35" s="5">
        <v>44137</v>
      </c>
      <c r="C35" s="6" t="s">
        <v>1090</v>
      </c>
      <c r="D35" s="6" t="s">
        <v>123</v>
      </c>
      <c r="E35" s="6" t="s">
        <v>1525</v>
      </c>
      <c r="F35" s="6" t="s">
        <v>171</v>
      </c>
      <c r="G35" s="7" t="str">
        <f>HYPERLINK("http://ovidsp.ovid.com/ovidweb.cgi?T=JS&amp;NEWS=n&amp;CSC=Y&amp;PAGE=booktext&amp;D=books&amp;AN=02097249$&amp;XPATH=/PG(0)&amp;EPUB=Y","http://ovidsp.ovid.com/ovidweb.cgi?T=JS&amp;NEWS=n&amp;CSC=Y&amp;PAGE=booktext&amp;D=books&amp;AN=02097249$&amp;XPATH=/PG(0)&amp;EPUB=Y")</f>
        <v>http://ovidsp.ovid.com/ovidweb.cgi?T=JS&amp;NEWS=n&amp;CSC=Y&amp;PAGE=booktext&amp;D=books&amp;AN=02097249$&amp;XPATH=/PG(0)&amp;EPUB=Y</v>
      </c>
      <c r="H35" s="8" t="s">
        <v>1220</v>
      </c>
    </row>
    <row r="36" spans="1:8" x14ac:dyDescent="0.25">
      <c r="A36" s="4" t="s">
        <v>13</v>
      </c>
      <c r="B36" s="5">
        <v>44137</v>
      </c>
      <c r="C36" s="6" t="s">
        <v>437</v>
      </c>
      <c r="D36" s="6" t="s">
        <v>1139</v>
      </c>
      <c r="E36" s="6" t="s">
        <v>1525</v>
      </c>
      <c r="F36" s="6" t="s">
        <v>171</v>
      </c>
      <c r="G36" s="7" t="str">
        <f>HYPERLINK("http://ovidsp.ovid.com/ovidweb.cgi?T=JS&amp;NEWS=n&amp;CSC=Y&amp;PAGE=booktext&amp;D=books&amp;AN=01856997$&amp;XPATH=/PG(0)&amp;EPUB=Y","http://ovidsp.ovid.com/ovidweb.cgi?T=JS&amp;NEWS=n&amp;CSC=Y&amp;PAGE=booktext&amp;D=books&amp;AN=01856997$&amp;XPATH=/PG(0)&amp;EPUB=Y")</f>
        <v>http://ovidsp.ovid.com/ovidweb.cgi?T=JS&amp;NEWS=n&amp;CSC=Y&amp;PAGE=booktext&amp;D=books&amp;AN=01856997$&amp;XPATH=/PG(0)&amp;EPUB=Y</v>
      </c>
      <c r="H36" s="8" t="s">
        <v>1220</v>
      </c>
    </row>
    <row r="37" spans="1:8" x14ac:dyDescent="0.25">
      <c r="A37" s="4" t="s">
        <v>1680</v>
      </c>
      <c r="B37" s="5">
        <v>44137</v>
      </c>
      <c r="C37" s="6" t="s">
        <v>1516</v>
      </c>
      <c r="D37" s="6" t="s">
        <v>1336</v>
      </c>
      <c r="E37" s="6" t="s">
        <v>1525</v>
      </c>
      <c r="F37" s="6" t="s">
        <v>845</v>
      </c>
      <c r="G37" s="7" t="str">
        <f>HYPERLINK("http://ovidsp.ovid.com/ovidweb.cgi?T=JS&amp;NEWS=n&amp;CSC=Y&amp;PAGE=booktext&amp;D=books&amp;AN=01884425$&amp;XPATH=/PG(0)&amp;EPUB=Y","http://ovidsp.ovid.com/ovidweb.cgi?T=JS&amp;NEWS=n&amp;CSC=Y&amp;PAGE=booktext&amp;D=books&amp;AN=01884425$&amp;XPATH=/PG(0)&amp;EPUB=Y")</f>
        <v>http://ovidsp.ovid.com/ovidweb.cgi?T=JS&amp;NEWS=n&amp;CSC=Y&amp;PAGE=booktext&amp;D=books&amp;AN=01884425$&amp;XPATH=/PG(0)&amp;EPUB=Y</v>
      </c>
      <c r="H37" s="8" t="s">
        <v>1314</v>
      </c>
    </row>
    <row r="38" spans="1:8" x14ac:dyDescent="0.25">
      <c r="A38" s="4" t="s">
        <v>1511</v>
      </c>
      <c r="B38" s="5">
        <v>44137</v>
      </c>
      <c r="C38" s="6" t="s">
        <v>257</v>
      </c>
      <c r="D38" s="6" t="s">
        <v>872</v>
      </c>
      <c r="E38" s="6" t="s">
        <v>1525</v>
      </c>
      <c r="F38" s="6" t="s">
        <v>444</v>
      </c>
      <c r="G38" s="7" t="str">
        <f>HYPERLINK("http://ovidsp.ovid.com/ovidweb.cgi?T=JS&amp;NEWS=n&amp;CSC=Y&amp;PAGE=booktext&amp;D=books&amp;AN=01938966$&amp;XPATH=/PG(0)&amp;EPUB=Y","http://ovidsp.ovid.com/ovidweb.cgi?T=JS&amp;NEWS=n&amp;CSC=Y&amp;PAGE=booktext&amp;D=books&amp;AN=01938966$&amp;XPATH=/PG(0)&amp;EPUB=Y")</f>
        <v>http://ovidsp.ovid.com/ovidweb.cgi?T=JS&amp;NEWS=n&amp;CSC=Y&amp;PAGE=booktext&amp;D=books&amp;AN=01938966$&amp;XPATH=/PG(0)&amp;EPUB=Y</v>
      </c>
      <c r="H38" s="8" t="s">
        <v>1314</v>
      </c>
    </row>
    <row r="39" spans="1:8" x14ac:dyDescent="0.25">
      <c r="A39" s="4" t="s">
        <v>157</v>
      </c>
      <c r="B39" s="5">
        <v>44137</v>
      </c>
      <c r="C39" s="6" t="s">
        <v>275</v>
      </c>
      <c r="D39" s="6" t="s">
        <v>1076</v>
      </c>
      <c r="E39" s="6" t="s">
        <v>1525</v>
      </c>
      <c r="F39" s="6" t="s">
        <v>845</v>
      </c>
      <c r="G39" s="7" t="str">
        <f>HYPERLINK("http://ovidsp.ovid.com/ovidweb.cgi?T=JS&amp;NEWS=n&amp;CSC=Y&amp;PAGE=booktext&amp;D=books&amp;AN=01906610$&amp;XPATH=/PG(0)&amp;EPUB=Y","http://ovidsp.ovid.com/ovidweb.cgi?T=JS&amp;NEWS=n&amp;CSC=Y&amp;PAGE=booktext&amp;D=books&amp;AN=01906610$&amp;XPATH=/PG(0)&amp;EPUB=Y")</f>
        <v>http://ovidsp.ovid.com/ovidweb.cgi?T=JS&amp;NEWS=n&amp;CSC=Y&amp;PAGE=booktext&amp;D=books&amp;AN=01906610$&amp;XPATH=/PG(0)&amp;EPUB=Y</v>
      </c>
      <c r="H39" s="8" t="s">
        <v>1314</v>
      </c>
    </row>
    <row r="40" spans="1:8" x14ac:dyDescent="0.25">
      <c r="A40" s="4" t="s">
        <v>627</v>
      </c>
      <c r="B40" s="5">
        <v>44137</v>
      </c>
      <c r="C40" s="6" t="s">
        <v>1604</v>
      </c>
      <c r="D40" s="6" t="s">
        <v>394</v>
      </c>
      <c r="E40" s="6" t="s">
        <v>1525</v>
      </c>
      <c r="F40" s="6" t="s">
        <v>444</v>
      </c>
      <c r="G40" s="7" t="str">
        <f>HYPERLINK("http://ovidsp.ovid.com/ovidweb.cgi?T=JS&amp;NEWS=n&amp;CSC=Y&amp;PAGE=booktext&amp;D=books&amp;AN=02070809$&amp;XPATH=/PG(0)&amp;EPUB=Y","http://ovidsp.ovid.com/ovidweb.cgi?T=JS&amp;NEWS=n&amp;CSC=Y&amp;PAGE=booktext&amp;D=books&amp;AN=02070809$&amp;XPATH=/PG(0)&amp;EPUB=Y")</f>
        <v>http://ovidsp.ovid.com/ovidweb.cgi?T=JS&amp;NEWS=n&amp;CSC=Y&amp;PAGE=booktext&amp;D=books&amp;AN=02070809$&amp;XPATH=/PG(0)&amp;EPUB=Y</v>
      </c>
      <c r="H40" s="8" t="s">
        <v>1314</v>
      </c>
    </row>
    <row r="41" spans="1:8" x14ac:dyDescent="0.25">
      <c r="A41" s="4" t="s">
        <v>1377</v>
      </c>
      <c r="B41" s="5">
        <v>44137</v>
      </c>
      <c r="C41" s="6" t="s">
        <v>1675</v>
      </c>
      <c r="D41" s="6" t="s">
        <v>1309</v>
      </c>
      <c r="E41" s="6" t="s">
        <v>1525</v>
      </c>
      <c r="F41" s="6" t="s">
        <v>171</v>
      </c>
      <c r="G41" s="7" t="str">
        <f>HYPERLINK("http://ovidsp.ovid.com/ovidweb.cgi?T=JS&amp;NEWS=n&amp;CSC=Y&amp;PAGE=booktext&amp;D=books&amp;AN=01938968$&amp;XPATH=/PG(0)&amp;EPUB=Y","http://ovidsp.ovid.com/ovidweb.cgi?T=JS&amp;NEWS=n&amp;CSC=Y&amp;PAGE=booktext&amp;D=books&amp;AN=01938968$&amp;XPATH=/PG(0)&amp;EPUB=Y")</f>
        <v>http://ovidsp.ovid.com/ovidweb.cgi?T=JS&amp;NEWS=n&amp;CSC=Y&amp;PAGE=booktext&amp;D=books&amp;AN=01938968$&amp;XPATH=/PG(0)&amp;EPUB=Y</v>
      </c>
      <c r="H41" s="8" t="s">
        <v>1314</v>
      </c>
    </row>
    <row r="42" spans="1:8" x14ac:dyDescent="0.25">
      <c r="A42" s="4" t="s">
        <v>1567</v>
      </c>
      <c r="B42" s="5">
        <v>44137</v>
      </c>
      <c r="C42" s="6" t="s">
        <v>480</v>
      </c>
      <c r="D42" s="6" t="s">
        <v>342</v>
      </c>
      <c r="E42" s="6" t="s">
        <v>1525</v>
      </c>
      <c r="F42" s="6" t="s">
        <v>1092</v>
      </c>
      <c r="G42" s="7" t="str">
        <f>HYPERLINK("http://ovidsp.ovid.com/ovidweb.cgi?T=JS&amp;NEWS=n&amp;CSC=Y&amp;PAGE=booktext&amp;D=books&amp;AN=02003488$&amp;XPATH=/PG(0)&amp;EPUB=Y","http://ovidsp.ovid.com/ovidweb.cgi?T=JS&amp;NEWS=n&amp;CSC=Y&amp;PAGE=booktext&amp;D=books&amp;AN=02003488$&amp;XPATH=/PG(0)&amp;EPUB=Y")</f>
        <v>http://ovidsp.ovid.com/ovidweb.cgi?T=JS&amp;NEWS=n&amp;CSC=Y&amp;PAGE=booktext&amp;D=books&amp;AN=02003488$&amp;XPATH=/PG(0)&amp;EPUB=Y</v>
      </c>
      <c r="H42" s="8" t="s">
        <v>1314</v>
      </c>
    </row>
    <row r="43" spans="1:8" x14ac:dyDescent="0.25">
      <c r="A43" s="4" t="s">
        <v>471</v>
      </c>
      <c r="B43" s="5">
        <v>44137</v>
      </c>
      <c r="C43" s="6" t="s">
        <v>881</v>
      </c>
      <c r="D43" s="6" t="s">
        <v>701</v>
      </c>
      <c r="E43" s="6" t="s">
        <v>1525</v>
      </c>
      <c r="F43" s="6" t="s">
        <v>1000</v>
      </c>
      <c r="G43" s="7" t="str">
        <f>HYPERLINK("http://ovidsp.ovid.com/ovidweb.cgi?T=JS&amp;NEWS=n&amp;CSC=Y&amp;PAGE=booktext&amp;D=books&amp;AN=01337156$&amp;XPATH=/PG(0)&amp;EPUB=Y","http://ovidsp.ovid.com/ovidweb.cgi?T=JS&amp;NEWS=n&amp;CSC=Y&amp;PAGE=booktext&amp;D=books&amp;AN=01337156$&amp;XPATH=/PG(0)&amp;EPUB=Y")</f>
        <v>http://ovidsp.ovid.com/ovidweb.cgi?T=JS&amp;NEWS=n&amp;CSC=Y&amp;PAGE=booktext&amp;D=books&amp;AN=01337156$&amp;XPATH=/PG(0)&amp;EPUB=Y</v>
      </c>
      <c r="H43" s="8" t="s">
        <v>1220</v>
      </c>
    </row>
    <row r="44" spans="1:8" x14ac:dyDescent="0.25">
      <c r="A44" s="4" t="s">
        <v>978</v>
      </c>
      <c r="B44" s="5">
        <v>44137</v>
      </c>
      <c r="C44" s="6" t="s">
        <v>1438</v>
      </c>
      <c r="D44" s="6" t="s">
        <v>712</v>
      </c>
      <c r="E44" s="6" t="s">
        <v>1525</v>
      </c>
      <c r="F44" s="6" t="s">
        <v>845</v>
      </c>
      <c r="G44" s="7" t="str">
        <f>HYPERLINK("http://ovidsp.ovid.com/ovidweb.cgi?T=JS&amp;NEWS=n&amp;CSC=Y&amp;PAGE=booktext&amp;D=books&amp;AN=01787270$&amp;XPATH=/PG(0)&amp;EPUB=Y","http://ovidsp.ovid.com/ovidweb.cgi?T=JS&amp;NEWS=n&amp;CSC=Y&amp;PAGE=booktext&amp;D=books&amp;AN=01787270$&amp;XPATH=/PG(0)&amp;EPUB=Y")</f>
        <v>http://ovidsp.ovid.com/ovidweb.cgi?T=JS&amp;NEWS=n&amp;CSC=Y&amp;PAGE=booktext&amp;D=books&amp;AN=01787270$&amp;XPATH=/PG(0)&amp;EPUB=Y</v>
      </c>
      <c r="H44" s="8" t="s">
        <v>1220</v>
      </c>
    </row>
    <row r="45" spans="1:8" x14ac:dyDescent="0.25">
      <c r="A45" s="4" t="s">
        <v>563</v>
      </c>
      <c r="B45" s="5">
        <v>44137</v>
      </c>
      <c r="C45" s="6" t="s">
        <v>1517</v>
      </c>
      <c r="D45" s="6" t="s">
        <v>863</v>
      </c>
      <c r="E45" s="6" t="s">
        <v>1525</v>
      </c>
      <c r="F45" s="6" t="s">
        <v>1122</v>
      </c>
      <c r="G45" s="7" t="str">
        <f>HYPERLINK("http://ovidsp.ovid.com/ovidweb.cgi?T=JS&amp;NEWS=n&amp;CSC=Y&amp;PAGE=booktext&amp;D=books&amp;AN=02118601$&amp;XPATH=/PG(0)&amp;EPUB=Y","http://ovidsp.ovid.com/ovidweb.cgi?T=JS&amp;NEWS=n&amp;CSC=Y&amp;PAGE=booktext&amp;D=books&amp;AN=02118601$&amp;XPATH=/PG(0)&amp;EPUB=Y")</f>
        <v>http://ovidsp.ovid.com/ovidweb.cgi?T=JS&amp;NEWS=n&amp;CSC=Y&amp;PAGE=booktext&amp;D=books&amp;AN=02118601$&amp;XPATH=/PG(0)&amp;EPUB=Y</v>
      </c>
      <c r="H45" s="8" t="s">
        <v>1220</v>
      </c>
    </row>
    <row r="46" spans="1:8" x14ac:dyDescent="0.25">
      <c r="A46" s="4" t="s">
        <v>261</v>
      </c>
      <c r="B46" s="5">
        <v>44137</v>
      </c>
      <c r="C46" s="6" t="s">
        <v>1109</v>
      </c>
      <c r="D46" s="6" t="s">
        <v>298</v>
      </c>
      <c r="E46" s="6" t="s">
        <v>1525</v>
      </c>
      <c r="F46" s="6" t="s">
        <v>1277</v>
      </c>
      <c r="G46" s="7" t="str">
        <f>HYPERLINK("http://ovidsp.ovid.com/ovidweb.cgi?T=JS&amp;NEWS=n&amp;CSC=Y&amp;PAGE=booktext&amp;D=books&amp;AN=02118602$&amp;XPATH=/PG(0)&amp;EPUB=Y","http://ovidsp.ovid.com/ovidweb.cgi?T=JS&amp;NEWS=n&amp;CSC=Y&amp;PAGE=booktext&amp;D=books&amp;AN=02118602$&amp;XPATH=/PG(0)&amp;EPUB=Y")</f>
        <v>http://ovidsp.ovid.com/ovidweb.cgi?T=JS&amp;NEWS=n&amp;CSC=Y&amp;PAGE=booktext&amp;D=books&amp;AN=02118602$&amp;XPATH=/PG(0)&amp;EPUB=Y</v>
      </c>
      <c r="H46" s="8" t="s">
        <v>1220</v>
      </c>
    </row>
    <row r="47" spans="1:8" x14ac:dyDescent="0.25">
      <c r="A47" s="4" t="s">
        <v>904</v>
      </c>
      <c r="B47" s="5">
        <v>44137</v>
      </c>
      <c r="C47" s="6" t="s">
        <v>18</v>
      </c>
      <c r="D47" s="6" t="s">
        <v>707</v>
      </c>
      <c r="E47" s="6" t="s">
        <v>1525</v>
      </c>
      <c r="F47" s="6" t="s">
        <v>236</v>
      </c>
      <c r="G47" s="7" t="str">
        <f>HYPERLINK("http://ovidsp.ovid.com/ovidweb.cgi?T=JS&amp;NEWS=n&amp;CSC=Y&amp;PAGE=booktext&amp;D=books&amp;AN=02102009$&amp;XPATH=/PG(0)&amp;EPUB=Y","http://ovidsp.ovid.com/ovidweb.cgi?T=JS&amp;NEWS=n&amp;CSC=Y&amp;PAGE=booktext&amp;D=books&amp;AN=02102009$&amp;XPATH=/PG(0)&amp;EPUB=Y")</f>
        <v>http://ovidsp.ovid.com/ovidweb.cgi?T=JS&amp;NEWS=n&amp;CSC=Y&amp;PAGE=booktext&amp;D=books&amp;AN=02102009$&amp;XPATH=/PG(0)&amp;EPUB=Y</v>
      </c>
      <c r="H47" s="8" t="s">
        <v>1220</v>
      </c>
    </row>
    <row r="48" spans="1:8" x14ac:dyDescent="0.25">
      <c r="A48" s="4" t="s">
        <v>327</v>
      </c>
      <c r="B48" s="5">
        <v>44137</v>
      </c>
      <c r="C48" s="6" t="s">
        <v>281</v>
      </c>
      <c r="D48" s="6" t="s">
        <v>379</v>
      </c>
      <c r="E48" s="6" t="s">
        <v>1525</v>
      </c>
      <c r="F48" s="6" t="s">
        <v>444</v>
      </c>
      <c r="G48" s="7" t="str">
        <f>HYPERLINK("http://ovidsp.ovid.com/ovidweb.cgi?T=JS&amp;NEWS=n&amp;CSC=Y&amp;PAGE=booktext&amp;D=books&amp;AN=02070856$&amp;XPATH=/PG(0)&amp;EPUB=Y","http://ovidsp.ovid.com/ovidweb.cgi?T=JS&amp;NEWS=n&amp;CSC=Y&amp;PAGE=booktext&amp;D=books&amp;AN=02070856$&amp;XPATH=/PG(0)&amp;EPUB=Y")</f>
        <v>http://ovidsp.ovid.com/ovidweb.cgi?T=JS&amp;NEWS=n&amp;CSC=Y&amp;PAGE=booktext&amp;D=books&amp;AN=02070856$&amp;XPATH=/PG(0)&amp;EPUB=Y</v>
      </c>
      <c r="H48" s="8" t="s">
        <v>1314</v>
      </c>
    </row>
    <row r="49" spans="1:8" x14ac:dyDescent="0.25">
      <c r="A49" s="4" t="s">
        <v>1366</v>
      </c>
      <c r="B49" s="5">
        <v>44137</v>
      </c>
      <c r="C49" s="6" t="s">
        <v>181</v>
      </c>
      <c r="D49" s="6" t="s">
        <v>804</v>
      </c>
      <c r="E49" s="6" t="s">
        <v>1525</v>
      </c>
      <c r="F49" s="6" t="s">
        <v>236</v>
      </c>
      <c r="G49" s="7" t="str">
        <f>HYPERLINK("http://ovidsp.ovid.com/ovidweb.cgi?T=JS&amp;NEWS=n&amp;CSC=Y&amp;PAGE=booktext&amp;D=books&amp;AN=01979437$&amp;XPATH=/PG(0)&amp;EPUB=Y","http://ovidsp.ovid.com/ovidweb.cgi?T=JS&amp;NEWS=n&amp;CSC=Y&amp;PAGE=booktext&amp;D=books&amp;AN=01979437$&amp;XPATH=/PG(0)&amp;EPUB=Y")</f>
        <v>http://ovidsp.ovid.com/ovidweb.cgi?T=JS&amp;NEWS=n&amp;CSC=Y&amp;PAGE=booktext&amp;D=books&amp;AN=01979437$&amp;XPATH=/PG(0)&amp;EPUB=Y</v>
      </c>
      <c r="H49" s="8" t="s">
        <v>1220</v>
      </c>
    </row>
    <row r="50" spans="1:8" x14ac:dyDescent="0.25">
      <c r="A50" s="4" t="s">
        <v>1243</v>
      </c>
      <c r="B50" s="5">
        <v>44137</v>
      </c>
      <c r="C50" s="6" t="s">
        <v>1350</v>
      </c>
      <c r="D50" s="6" t="s">
        <v>71</v>
      </c>
      <c r="E50" s="6" t="s">
        <v>1525</v>
      </c>
      <c r="F50" s="6" t="s">
        <v>1161</v>
      </c>
      <c r="G50" s="7" t="str">
        <f>HYPERLINK("http://ovidsp.ovid.com/ovidweb.cgi?T=JS&amp;NEWS=n&amp;CSC=Y&amp;PAGE=booktext&amp;D=books&amp;AN=01996202$&amp;XPATH=/PG(0)&amp;EPUB=Y","http://ovidsp.ovid.com/ovidweb.cgi?T=JS&amp;NEWS=n&amp;CSC=Y&amp;PAGE=booktext&amp;D=books&amp;AN=01996202$&amp;XPATH=/PG(0)&amp;EPUB=Y")</f>
        <v>http://ovidsp.ovid.com/ovidweb.cgi?T=JS&amp;NEWS=n&amp;CSC=Y&amp;PAGE=booktext&amp;D=books&amp;AN=01996202$&amp;XPATH=/PG(0)&amp;EPUB=Y</v>
      </c>
      <c r="H50" s="8" t="s">
        <v>1314</v>
      </c>
    </row>
    <row r="51" spans="1:8" x14ac:dyDescent="0.25">
      <c r="A51" s="4" t="s">
        <v>190</v>
      </c>
      <c r="B51" s="5">
        <v>44137</v>
      </c>
      <c r="C51" s="6" t="s">
        <v>929</v>
      </c>
      <c r="D51" s="6" t="s">
        <v>564</v>
      </c>
      <c r="E51" s="6" t="s">
        <v>1525</v>
      </c>
      <c r="F51" s="6" t="s">
        <v>171</v>
      </c>
      <c r="G51" s="7" t="str">
        <f>HYPERLINK("http://ovidsp.ovid.com/ovidweb.cgi?T=JS&amp;NEWS=n&amp;CSC=Y&amp;PAGE=booktext&amp;D=books&amp;AN=02144570$&amp;XPATH=/PG(0)&amp;EPUB=Y","http://ovidsp.ovid.com/ovidweb.cgi?T=JS&amp;NEWS=n&amp;CSC=Y&amp;PAGE=booktext&amp;D=books&amp;AN=02144570$&amp;XPATH=/PG(0)&amp;EPUB=Y")</f>
        <v>http://ovidsp.ovid.com/ovidweb.cgi?T=JS&amp;NEWS=n&amp;CSC=Y&amp;PAGE=booktext&amp;D=books&amp;AN=02144570$&amp;XPATH=/PG(0)&amp;EPUB=Y</v>
      </c>
      <c r="H51" s="8" t="s">
        <v>1220</v>
      </c>
    </row>
    <row r="52" spans="1:8" x14ac:dyDescent="0.25">
      <c r="A52" s="4" t="s">
        <v>112</v>
      </c>
      <c r="B52" s="5">
        <v>44137</v>
      </c>
      <c r="C52" s="6" t="s">
        <v>793</v>
      </c>
      <c r="D52" s="6" t="s">
        <v>243</v>
      </c>
      <c r="E52" s="6" t="s">
        <v>1525</v>
      </c>
      <c r="F52" s="6" t="s">
        <v>618</v>
      </c>
      <c r="G52" s="7" t="str">
        <f>HYPERLINK("http://ovidsp.ovid.com/ovidweb.cgi?T=JS&amp;NEWS=n&amp;CSC=Y&amp;PAGE=booktext&amp;D=books&amp;AN=02158038$&amp;XPATH=/PG(0)&amp;EPUB=Y","http://ovidsp.ovid.com/ovidweb.cgi?T=JS&amp;NEWS=n&amp;CSC=Y&amp;PAGE=booktext&amp;D=books&amp;AN=02158038$&amp;XPATH=/PG(0)&amp;EPUB=Y")</f>
        <v>http://ovidsp.ovid.com/ovidweb.cgi?T=JS&amp;NEWS=n&amp;CSC=Y&amp;PAGE=booktext&amp;D=books&amp;AN=02158038$&amp;XPATH=/PG(0)&amp;EPUB=Y</v>
      </c>
      <c r="H52" s="8" t="s">
        <v>1220</v>
      </c>
    </row>
    <row r="53" spans="1:8" x14ac:dyDescent="0.25">
      <c r="A53" s="4" t="s">
        <v>1668</v>
      </c>
      <c r="B53" s="5">
        <v>44137</v>
      </c>
      <c r="C53" s="6" t="s">
        <v>669</v>
      </c>
      <c r="D53" s="6" t="s">
        <v>1650</v>
      </c>
      <c r="E53" s="6" t="s">
        <v>1525</v>
      </c>
      <c r="F53" s="6" t="s">
        <v>171</v>
      </c>
      <c r="G53" s="7" t="str">
        <f>HYPERLINK("http://ovidsp.ovid.com/ovidweb.cgi?T=JS&amp;NEWS=n&amp;CSC=Y&amp;PAGE=booktext&amp;D=books&amp;AN=01857009$&amp;XPATH=/PG(0)&amp;EPUB=Y","http://ovidsp.ovid.com/ovidweb.cgi?T=JS&amp;NEWS=n&amp;CSC=Y&amp;PAGE=booktext&amp;D=books&amp;AN=01857009$&amp;XPATH=/PG(0)&amp;EPUB=Y")</f>
        <v>http://ovidsp.ovid.com/ovidweb.cgi?T=JS&amp;NEWS=n&amp;CSC=Y&amp;PAGE=booktext&amp;D=books&amp;AN=01857009$&amp;XPATH=/PG(0)&amp;EPUB=Y</v>
      </c>
      <c r="H53" s="8" t="s">
        <v>1220</v>
      </c>
    </row>
    <row r="54" spans="1:8" x14ac:dyDescent="0.25">
      <c r="A54" s="4" t="s">
        <v>450</v>
      </c>
      <c r="B54" s="5">
        <v>44137</v>
      </c>
      <c r="C54" s="6" t="s">
        <v>79</v>
      </c>
      <c r="D54" s="6" t="s">
        <v>1642</v>
      </c>
      <c r="E54" s="6" t="s">
        <v>1525</v>
      </c>
      <c r="F54" s="6" t="s">
        <v>444</v>
      </c>
      <c r="G54" s="7" t="str">
        <f>HYPERLINK("http://ovidsp.ovid.com/ovidweb.cgi?T=JS&amp;NEWS=n&amp;CSC=Y&amp;PAGE=booktext&amp;D=books&amp;AN=01612924$&amp;XPATH=/PG(0)&amp;EPUB=Y","http://ovidsp.ovid.com/ovidweb.cgi?T=JS&amp;NEWS=n&amp;CSC=Y&amp;PAGE=booktext&amp;D=books&amp;AN=01612924$&amp;XPATH=/PG(0)&amp;EPUB=Y")</f>
        <v>http://ovidsp.ovid.com/ovidweb.cgi?T=JS&amp;NEWS=n&amp;CSC=Y&amp;PAGE=booktext&amp;D=books&amp;AN=01612924$&amp;XPATH=/PG(0)&amp;EPUB=Y</v>
      </c>
      <c r="H54" s="8" t="s">
        <v>1220</v>
      </c>
    </row>
    <row r="55" spans="1:8" x14ac:dyDescent="0.25">
      <c r="A55" s="4" t="s">
        <v>732</v>
      </c>
      <c r="B55" s="5">
        <v>44137</v>
      </c>
      <c r="C55" s="6" t="s">
        <v>279</v>
      </c>
      <c r="D55" s="6" t="s">
        <v>40</v>
      </c>
      <c r="E55" s="6" t="s">
        <v>1525</v>
      </c>
      <c r="F55" s="6" t="s">
        <v>444</v>
      </c>
      <c r="G55" s="7" t="str">
        <f>HYPERLINK("http://ovidsp.ovid.com/ovidweb.cgi?T=JS&amp;NEWS=n&amp;CSC=Y&amp;PAGE=booktext&amp;D=books&amp;AN=01382540$&amp;XPATH=/PG(0)&amp;EPUB=Y","http://ovidsp.ovid.com/ovidweb.cgi?T=JS&amp;NEWS=n&amp;CSC=Y&amp;PAGE=booktext&amp;D=books&amp;AN=01382540$&amp;XPATH=/PG(0)&amp;EPUB=Y")</f>
        <v>http://ovidsp.ovid.com/ovidweb.cgi?T=JS&amp;NEWS=n&amp;CSC=Y&amp;PAGE=booktext&amp;D=books&amp;AN=01382540$&amp;XPATH=/PG(0)&amp;EPUB=Y</v>
      </c>
      <c r="H55" s="8" t="s">
        <v>1220</v>
      </c>
    </row>
    <row r="56" spans="1:8" x14ac:dyDescent="0.25">
      <c r="A56" s="4" t="s">
        <v>1074</v>
      </c>
      <c r="B56" s="5">
        <v>44137</v>
      </c>
      <c r="C56" s="6" t="s">
        <v>1119</v>
      </c>
      <c r="D56" s="6" t="s">
        <v>530</v>
      </c>
      <c r="E56" s="6" t="s">
        <v>1525</v>
      </c>
      <c r="F56" s="6" t="s">
        <v>1161</v>
      </c>
      <c r="G56" s="7" t="str">
        <f>HYPERLINK("http://ovidsp.ovid.com/ovidweb.cgi?T=JS&amp;NEWS=n&amp;CSC=Y&amp;PAGE=booktext&amp;D=books&amp;AN=01906614$&amp;XPATH=/PG(0)&amp;EPUB=Y","http://ovidsp.ovid.com/ovidweb.cgi?T=JS&amp;NEWS=n&amp;CSC=Y&amp;PAGE=booktext&amp;D=books&amp;AN=01906614$&amp;XPATH=/PG(0)&amp;EPUB=Y")</f>
        <v>http://ovidsp.ovid.com/ovidweb.cgi?T=JS&amp;NEWS=n&amp;CSC=Y&amp;PAGE=booktext&amp;D=books&amp;AN=01906614$&amp;XPATH=/PG(0)&amp;EPUB=Y</v>
      </c>
      <c r="H56" s="8" t="s">
        <v>1220</v>
      </c>
    </row>
    <row r="57" spans="1:8" x14ac:dyDescent="0.25">
      <c r="A57" s="4" t="s">
        <v>1352</v>
      </c>
      <c r="B57" s="5">
        <v>44137</v>
      </c>
      <c r="C57" s="6" t="s">
        <v>1077</v>
      </c>
      <c r="D57" s="6" t="s">
        <v>1705</v>
      </c>
      <c r="E57" s="6" t="s">
        <v>1525</v>
      </c>
      <c r="F57" s="6" t="s">
        <v>1161</v>
      </c>
      <c r="G57" s="7" t="str">
        <f>HYPERLINK("http://ovidsp.ovid.com/ovidweb.cgi?T=JS&amp;NEWS=n&amp;CSC=Y&amp;PAGE=booktext&amp;D=books&amp;AN=02158039$&amp;XPATH=/PG(0)&amp;EPUB=Y","http://ovidsp.ovid.com/ovidweb.cgi?T=JS&amp;NEWS=n&amp;CSC=Y&amp;PAGE=booktext&amp;D=books&amp;AN=02158039$&amp;XPATH=/PG(0)&amp;EPUB=Y")</f>
        <v>http://ovidsp.ovid.com/ovidweb.cgi?T=JS&amp;NEWS=n&amp;CSC=Y&amp;PAGE=booktext&amp;D=books&amp;AN=02158039$&amp;XPATH=/PG(0)&amp;EPUB=Y</v>
      </c>
      <c r="H57" s="8" t="s">
        <v>1220</v>
      </c>
    </row>
    <row r="58" spans="1:8" x14ac:dyDescent="0.25">
      <c r="A58" s="4" t="s">
        <v>214</v>
      </c>
      <c r="B58" s="5">
        <v>44137</v>
      </c>
      <c r="C58" s="6" t="s">
        <v>1383</v>
      </c>
      <c r="D58" s="6" t="s">
        <v>1226</v>
      </c>
      <c r="E58" s="6" t="s">
        <v>1525</v>
      </c>
      <c r="F58" s="6" t="s">
        <v>444</v>
      </c>
      <c r="G58" s="7" t="str">
        <f>HYPERLINK("http://ovidsp.ovid.com/ovidweb.cgi?T=JS&amp;NEWS=n&amp;CSC=Y&amp;PAGE=booktext&amp;D=books&amp;AN=01984728$&amp;XPATH=/PG(0)&amp;EPUB=Y","http://ovidsp.ovid.com/ovidweb.cgi?T=JS&amp;NEWS=n&amp;CSC=Y&amp;PAGE=booktext&amp;D=books&amp;AN=01984728$&amp;XPATH=/PG(0)&amp;EPUB=Y")</f>
        <v>http://ovidsp.ovid.com/ovidweb.cgi?T=JS&amp;NEWS=n&amp;CSC=Y&amp;PAGE=booktext&amp;D=books&amp;AN=01984728$&amp;XPATH=/PG(0)&amp;EPUB=Y</v>
      </c>
      <c r="H58" s="8" t="s">
        <v>1220</v>
      </c>
    </row>
    <row r="59" spans="1:8" x14ac:dyDescent="0.25">
      <c r="A59" s="4" t="s">
        <v>1538</v>
      </c>
      <c r="B59" s="5">
        <v>44137</v>
      </c>
      <c r="C59" s="6" t="s">
        <v>858</v>
      </c>
      <c r="D59" s="6" t="s">
        <v>1738</v>
      </c>
      <c r="E59" s="6" t="s">
        <v>1525</v>
      </c>
      <c r="F59" s="6" t="s">
        <v>444</v>
      </c>
      <c r="G59" s="7" t="str">
        <f>HYPERLINK("http://ovidsp.ovid.com/ovidweb.cgi?T=JS&amp;NEWS=n&amp;CSC=Y&amp;PAGE=booktext&amp;D=books&amp;AN=01884421$&amp;XPATH=/PG(0)&amp;EPUB=Y","http://ovidsp.ovid.com/ovidweb.cgi?T=JS&amp;NEWS=n&amp;CSC=Y&amp;PAGE=booktext&amp;D=books&amp;AN=01884421$&amp;XPATH=/PG(0)&amp;EPUB=Y")</f>
        <v>http://ovidsp.ovid.com/ovidweb.cgi?T=JS&amp;NEWS=n&amp;CSC=Y&amp;PAGE=booktext&amp;D=books&amp;AN=01884421$&amp;XPATH=/PG(0)&amp;EPUB=Y</v>
      </c>
      <c r="H59" s="8" t="s">
        <v>1220</v>
      </c>
    </row>
    <row r="60" spans="1:8" x14ac:dyDescent="0.25">
      <c r="A60" s="4" t="s">
        <v>950</v>
      </c>
      <c r="B60" s="5">
        <v>44137</v>
      </c>
      <c r="C60" s="6" t="s">
        <v>1259</v>
      </c>
      <c r="D60" s="6" t="s">
        <v>1419</v>
      </c>
      <c r="E60" s="6" t="s">
        <v>1525</v>
      </c>
      <c r="F60" s="6" t="s">
        <v>1122</v>
      </c>
      <c r="G60" s="7" t="str">
        <f>HYPERLINK("http://ovidsp.ovid.com/ovidweb.cgi?T=JS&amp;NEWS=n&amp;CSC=Y&amp;PAGE=booktext&amp;D=books&amp;AN=02070859$&amp;XPATH=/PG(0)&amp;EPUB=Y","http://ovidsp.ovid.com/ovidweb.cgi?T=JS&amp;NEWS=n&amp;CSC=Y&amp;PAGE=booktext&amp;D=books&amp;AN=02070859$&amp;XPATH=/PG(0)&amp;EPUB=Y")</f>
        <v>http://ovidsp.ovid.com/ovidweb.cgi?T=JS&amp;NEWS=n&amp;CSC=Y&amp;PAGE=booktext&amp;D=books&amp;AN=02070859$&amp;XPATH=/PG(0)&amp;EPUB=Y</v>
      </c>
      <c r="H60" s="8" t="s">
        <v>1314</v>
      </c>
    </row>
    <row r="61" spans="1:8" x14ac:dyDescent="0.25">
      <c r="A61" s="4" t="s">
        <v>982</v>
      </c>
      <c r="B61" s="5">
        <v>44137</v>
      </c>
      <c r="C61" s="6" t="s">
        <v>287</v>
      </c>
      <c r="D61" s="6" t="s">
        <v>116</v>
      </c>
      <c r="E61" s="6" t="s">
        <v>1525</v>
      </c>
      <c r="F61" s="6" t="s">
        <v>1000</v>
      </c>
      <c r="G61" s="7" t="str">
        <f>HYPERLINK("http://ovidsp.ovid.com/ovidweb.cgi?T=JS&amp;NEWS=n&amp;CSC=Y&amp;PAGE=booktext&amp;D=books&amp;AN=02060355$&amp;XPATH=/PG(0)&amp;EPUB=Y","http://ovidsp.ovid.com/ovidweb.cgi?T=JS&amp;NEWS=n&amp;CSC=Y&amp;PAGE=booktext&amp;D=books&amp;AN=02060355$&amp;XPATH=/PG(0)&amp;EPUB=Y")</f>
        <v>http://ovidsp.ovid.com/ovidweb.cgi?T=JS&amp;NEWS=n&amp;CSC=Y&amp;PAGE=booktext&amp;D=books&amp;AN=02060355$&amp;XPATH=/PG(0)&amp;EPUB=Y</v>
      </c>
      <c r="H61" s="8" t="s">
        <v>1220</v>
      </c>
    </row>
    <row r="62" spans="1:8" x14ac:dyDescent="0.25">
      <c r="A62" s="4" t="s">
        <v>1689</v>
      </c>
      <c r="B62" s="5">
        <v>44137</v>
      </c>
      <c r="C62" s="6" t="s">
        <v>1489</v>
      </c>
      <c r="D62" s="6" t="s">
        <v>1009</v>
      </c>
      <c r="E62" s="6" t="s">
        <v>1525</v>
      </c>
      <c r="F62" s="6" t="s">
        <v>618</v>
      </c>
      <c r="G62" s="7" t="str">
        <f>HYPERLINK("http://ovidsp.ovid.com/ovidweb.cgi?T=JS&amp;NEWS=n&amp;CSC=Y&amp;PAGE=booktext&amp;D=books&amp;AN=01996203$&amp;XPATH=/PG(0)&amp;EPUB=Y","http://ovidsp.ovid.com/ovidweb.cgi?T=JS&amp;NEWS=n&amp;CSC=Y&amp;PAGE=booktext&amp;D=books&amp;AN=01996203$&amp;XPATH=/PG(0)&amp;EPUB=Y")</f>
        <v>http://ovidsp.ovid.com/ovidweb.cgi?T=JS&amp;NEWS=n&amp;CSC=Y&amp;PAGE=booktext&amp;D=books&amp;AN=01996203$&amp;XPATH=/PG(0)&amp;EPUB=Y</v>
      </c>
      <c r="H62" s="8" t="s">
        <v>1220</v>
      </c>
    </row>
    <row r="63" spans="1:8" x14ac:dyDescent="0.25">
      <c r="A63" s="4" t="s">
        <v>549</v>
      </c>
      <c r="B63" s="5">
        <v>44137</v>
      </c>
      <c r="C63" s="6" t="s">
        <v>300</v>
      </c>
      <c r="D63" s="6" t="s">
        <v>475</v>
      </c>
      <c r="E63" s="6" t="s">
        <v>1525</v>
      </c>
      <c r="F63" s="6" t="s">
        <v>845</v>
      </c>
      <c r="G63" s="7" t="str">
        <f>HYPERLINK("http://ovidsp.ovid.com/ovidweb.cgi?T=JS&amp;NEWS=n&amp;CSC=Y&amp;PAGE=booktext&amp;D=books&amp;AN=02127190$&amp;XPATH=/PG(0)&amp;EPUB=Y","http://ovidsp.ovid.com/ovidweb.cgi?T=JS&amp;NEWS=n&amp;CSC=Y&amp;PAGE=booktext&amp;D=books&amp;AN=02127190$&amp;XPATH=/PG(0)&amp;EPUB=Y")</f>
        <v>http://ovidsp.ovid.com/ovidweb.cgi?T=JS&amp;NEWS=n&amp;CSC=Y&amp;PAGE=booktext&amp;D=books&amp;AN=02127190$&amp;XPATH=/PG(0)&amp;EPUB=Y</v>
      </c>
      <c r="H63" s="8" t="s">
        <v>1314</v>
      </c>
    </row>
    <row r="64" spans="1:8" x14ac:dyDescent="0.25">
      <c r="A64" s="4" t="s">
        <v>1446</v>
      </c>
      <c r="B64" s="5">
        <v>44137</v>
      </c>
      <c r="C64" s="6" t="s">
        <v>524</v>
      </c>
      <c r="D64" s="6" t="s">
        <v>1190</v>
      </c>
      <c r="E64" s="6" t="s">
        <v>1525</v>
      </c>
      <c r="F64" s="6" t="s">
        <v>618</v>
      </c>
      <c r="G64" s="7" t="str">
        <f>HYPERLINK("http://ovidsp.ovid.com/ovidweb.cgi?T=JS&amp;NEWS=n&amp;CSC=Y&amp;PAGE=booktext&amp;D=books&amp;AN=01899896$&amp;XPATH=/PG(0)&amp;EPUB=Y","http://ovidsp.ovid.com/ovidweb.cgi?T=JS&amp;NEWS=n&amp;CSC=Y&amp;PAGE=booktext&amp;D=books&amp;AN=01899896$&amp;XPATH=/PG(0)&amp;EPUB=Y")</f>
        <v>http://ovidsp.ovid.com/ovidweb.cgi?T=JS&amp;NEWS=n&amp;CSC=Y&amp;PAGE=booktext&amp;D=books&amp;AN=01899896$&amp;XPATH=/PG(0)&amp;EPUB=Y</v>
      </c>
      <c r="H64" s="8" t="s">
        <v>1220</v>
      </c>
    </row>
    <row r="65" spans="1:8" x14ac:dyDescent="0.25">
      <c r="A65" s="4" t="s">
        <v>50</v>
      </c>
      <c r="B65" s="5">
        <v>44137</v>
      </c>
      <c r="C65" s="6" t="s">
        <v>1602</v>
      </c>
      <c r="D65" s="6" t="s">
        <v>308</v>
      </c>
      <c r="E65" s="6" t="s">
        <v>1525</v>
      </c>
      <c r="F65" s="6" t="s">
        <v>845</v>
      </c>
      <c r="G65" s="7" t="str">
        <f>HYPERLINK("http://ovidsp.ovid.com/ovidweb.cgi?T=JS&amp;NEWS=n&amp;CSC=Y&amp;PAGE=booktext&amp;D=books&amp;AN=01626600$&amp;XPATH=/PG(0)&amp;EPUB=Y","http://ovidsp.ovid.com/ovidweb.cgi?T=JS&amp;NEWS=n&amp;CSC=Y&amp;PAGE=booktext&amp;D=books&amp;AN=01626600$&amp;XPATH=/PG(0)&amp;EPUB=Y")</f>
        <v>http://ovidsp.ovid.com/ovidweb.cgi?T=JS&amp;NEWS=n&amp;CSC=Y&amp;PAGE=booktext&amp;D=books&amp;AN=01626600$&amp;XPATH=/PG(0)&amp;EPUB=Y</v>
      </c>
      <c r="H65" s="8" t="s">
        <v>1220</v>
      </c>
    </row>
    <row r="66" spans="1:8" x14ac:dyDescent="0.25">
      <c r="A66" s="4" t="s">
        <v>684</v>
      </c>
      <c r="B66" s="5">
        <v>44137</v>
      </c>
      <c r="C66" s="6" t="s">
        <v>1472</v>
      </c>
      <c r="D66" s="6" t="s">
        <v>785</v>
      </c>
      <c r="E66" s="6" t="s">
        <v>1525</v>
      </c>
      <c r="F66" s="6" t="s">
        <v>618</v>
      </c>
      <c r="G66" s="7" t="str">
        <f>HYPERLINK("http://ovidsp.ovid.com/ovidweb.cgi?T=JS&amp;NEWS=n&amp;CSC=Y&amp;PAGE=booktext&amp;D=books&amp;AN=01641754$&amp;XPATH=/PG(0)&amp;EPUB=Y","http://ovidsp.ovid.com/ovidweb.cgi?T=JS&amp;NEWS=n&amp;CSC=Y&amp;PAGE=booktext&amp;D=books&amp;AN=01641754$&amp;XPATH=/PG(0)&amp;EPUB=Y")</f>
        <v>http://ovidsp.ovid.com/ovidweb.cgi?T=JS&amp;NEWS=n&amp;CSC=Y&amp;PAGE=booktext&amp;D=books&amp;AN=01641754$&amp;XPATH=/PG(0)&amp;EPUB=Y</v>
      </c>
      <c r="H66" s="8" t="s">
        <v>1220</v>
      </c>
    </row>
    <row r="67" spans="1:8" x14ac:dyDescent="0.25">
      <c r="A67" s="4" t="s">
        <v>1346</v>
      </c>
      <c r="B67" s="5">
        <v>44137</v>
      </c>
      <c r="C67" s="6" t="s">
        <v>616</v>
      </c>
      <c r="D67" s="6" t="s">
        <v>1089</v>
      </c>
      <c r="E67" s="6" t="s">
        <v>1525</v>
      </c>
      <c r="F67" s="6" t="s">
        <v>444</v>
      </c>
      <c r="G67" s="7" t="str">
        <f>HYPERLINK("http://ovidsp.ovid.com/ovidweb.cgi?T=JS&amp;NEWS=n&amp;CSC=Y&amp;PAGE=booktext&amp;D=books&amp;AN=01979441$&amp;XPATH=/PG(0)&amp;EPUB=Y","http://ovidsp.ovid.com/ovidweb.cgi?T=JS&amp;NEWS=n&amp;CSC=Y&amp;PAGE=booktext&amp;D=books&amp;AN=01979441$&amp;XPATH=/PG(0)&amp;EPUB=Y")</f>
        <v>http://ovidsp.ovid.com/ovidweb.cgi?T=JS&amp;NEWS=n&amp;CSC=Y&amp;PAGE=booktext&amp;D=books&amp;AN=01979441$&amp;XPATH=/PG(0)&amp;EPUB=Y</v>
      </c>
      <c r="H67" s="8" t="s">
        <v>1220</v>
      </c>
    </row>
    <row r="68" spans="1:8" x14ac:dyDescent="0.25">
      <c r="A68" s="4" t="s">
        <v>10</v>
      </c>
      <c r="B68" s="5">
        <v>44137</v>
      </c>
      <c r="C68" s="6" t="s">
        <v>1423</v>
      </c>
      <c r="D68" s="6" t="s">
        <v>662</v>
      </c>
      <c r="E68" s="6" t="s">
        <v>1525</v>
      </c>
      <c r="F68" s="6" t="s">
        <v>1277</v>
      </c>
      <c r="G68" s="7" t="str">
        <f>HYPERLINK("http://ovidsp.ovid.com/ovidweb.cgi?T=JS&amp;NEWS=n&amp;CSC=Y&amp;PAGE=booktext&amp;D=books&amp;AN=01996167$&amp;XPATH=/PG(0)&amp;EPUB=Y","http://ovidsp.ovid.com/ovidweb.cgi?T=JS&amp;NEWS=n&amp;CSC=Y&amp;PAGE=booktext&amp;D=books&amp;AN=01996167$&amp;XPATH=/PG(0)&amp;EPUB=Y")</f>
        <v>http://ovidsp.ovid.com/ovidweb.cgi?T=JS&amp;NEWS=n&amp;CSC=Y&amp;PAGE=booktext&amp;D=books&amp;AN=01996167$&amp;XPATH=/PG(0)&amp;EPUB=Y</v>
      </c>
      <c r="H68" s="8" t="s">
        <v>1220</v>
      </c>
    </row>
    <row r="69" spans="1:8" x14ac:dyDescent="0.25">
      <c r="A69" s="4" t="s">
        <v>34</v>
      </c>
      <c r="B69" s="5">
        <v>44137</v>
      </c>
      <c r="C69" s="6" t="s">
        <v>1312</v>
      </c>
      <c r="D69" s="6" t="s">
        <v>1409</v>
      </c>
      <c r="E69" s="6" t="s">
        <v>1525</v>
      </c>
      <c r="F69" s="6" t="s">
        <v>1122</v>
      </c>
      <c r="G69" s="7" t="str">
        <f>HYPERLINK("http://ovidsp.ovid.com/ovidweb.cgi?T=JS&amp;NEWS=n&amp;CSC=Y&amp;PAGE=booktext&amp;D=books&amp;AN=01884451$&amp;XPATH=/PG(0)&amp;EPUB=Y","http://ovidsp.ovid.com/ovidweb.cgi?T=JS&amp;NEWS=n&amp;CSC=Y&amp;PAGE=booktext&amp;D=books&amp;AN=01884451$&amp;XPATH=/PG(0)&amp;EPUB=Y")</f>
        <v>http://ovidsp.ovid.com/ovidweb.cgi?T=JS&amp;NEWS=n&amp;CSC=Y&amp;PAGE=booktext&amp;D=books&amp;AN=01884451$&amp;XPATH=/PG(0)&amp;EPUB=Y</v>
      </c>
      <c r="H69" s="8" t="s">
        <v>1220</v>
      </c>
    </row>
    <row r="70" spans="1:8" x14ac:dyDescent="0.25">
      <c r="A70" s="4" t="s">
        <v>19</v>
      </c>
      <c r="B70" s="5">
        <v>44137</v>
      </c>
      <c r="C70" s="6" t="s">
        <v>1482</v>
      </c>
      <c r="D70" s="6" t="s">
        <v>21</v>
      </c>
      <c r="E70" s="6" t="s">
        <v>1525</v>
      </c>
      <c r="F70" s="6" t="s">
        <v>1122</v>
      </c>
      <c r="G70" s="7" t="str">
        <f>HYPERLINK("http://ovidsp.ovid.com/ovidweb.cgi?T=JS&amp;NEWS=n&amp;CSC=Y&amp;PAGE=booktext&amp;D=books&amp;AN=02139674$&amp;XPATH=/PG(0)&amp;EPUB=Y","http://ovidsp.ovid.com/ovidweb.cgi?T=JS&amp;NEWS=n&amp;CSC=Y&amp;PAGE=booktext&amp;D=books&amp;AN=02139674$&amp;XPATH=/PG(0)&amp;EPUB=Y")</f>
        <v>http://ovidsp.ovid.com/ovidweb.cgi?T=JS&amp;NEWS=n&amp;CSC=Y&amp;PAGE=booktext&amp;D=books&amp;AN=02139674$&amp;XPATH=/PG(0)&amp;EPUB=Y</v>
      </c>
      <c r="H70" s="8" t="s">
        <v>1220</v>
      </c>
    </row>
    <row r="71" spans="1:8" x14ac:dyDescent="0.25">
      <c r="A71" s="4" t="s">
        <v>1056</v>
      </c>
      <c r="B71" s="5">
        <v>44137</v>
      </c>
      <c r="C71" s="6" t="s">
        <v>1562</v>
      </c>
      <c r="D71" s="6" t="s">
        <v>679</v>
      </c>
      <c r="E71" s="6" t="s">
        <v>1525</v>
      </c>
      <c r="F71" s="6" t="s">
        <v>1277</v>
      </c>
      <c r="G71" s="7" t="str">
        <f>HYPERLINK("http://ovidsp.ovid.com/ovidweb.cgi?T=JS&amp;NEWS=n&amp;CSC=Y&amp;PAGE=booktext&amp;D=books&amp;AN=01960900$&amp;XPATH=/PG(0)&amp;EPUB=Y","http://ovidsp.ovid.com/ovidweb.cgi?T=JS&amp;NEWS=n&amp;CSC=Y&amp;PAGE=booktext&amp;D=books&amp;AN=01960900$&amp;XPATH=/PG(0)&amp;EPUB=Y")</f>
        <v>http://ovidsp.ovid.com/ovidweb.cgi?T=JS&amp;NEWS=n&amp;CSC=Y&amp;PAGE=booktext&amp;D=books&amp;AN=01960900$&amp;XPATH=/PG(0)&amp;EPUB=Y</v>
      </c>
      <c r="H71" s="8" t="s">
        <v>1220</v>
      </c>
    </row>
    <row r="72" spans="1:8" x14ac:dyDescent="0.25">
      <c r="A72" s="4" t="s">
        <v>1742</v>
      </c>
      <c r="B72" s="5">
        <v>44137</v>
      </c>
      <c r="C72" s="6" t="s">
        <v>945</v>
      </c>
      <c r="D72" s="6" t="s">
        <v>1555</v>
      </c>
      <c r="E72" s="6" t="s">
        <v>1525</v>
      </c>
      <c r="F72" s="6" t="s">
        <v>1122</v>
      </c>
      <c r="G72" s="7" t="str">
        <f>HYPERLINK("http://ovidsp.ovid.com/ovidweb.cgi?T=JS&amp;NEWS=n&amp;CSC=Y&amp;PAGE=booktext&amp;D=books&amp;AN=01762465$&amp;XPATH=/PG(0)&amp;EPUB=Y","http://ovidsp.ovid.com/ovidweb.cgi?T=JS&amp;NEWS=n&amp;CSC=Y&amp;PAGE=booktext&amp;D=books&amp;AN=01762465$&amp;XPATH=/PG(0)&amp;EPUB=Y")</f>
        <v>http://ovidsp.ovid.com/ovidweb.cgi?T=JS&amp;NEWS=n&amp;CSC=Y&amp;PAGE=booktext&amp;D=books&amp;AN=01762465$&amp;XPATH=/PG(0)&amp;EPUB=Y</v>
      </c>
      <c r="H72" s="8" t="s">
        <v>1220</v>
      </c>
    </row>
    <row r="73" spans="1:8" x14ac:dyDescent="0.25">
      <c r="A73" s="4" t="s">
        <v>1492</v>
      </c>
      <c r="B73" s="5">
        <v>44137</v>
      </c>
      <c r="C73" s="6" t="s">
        <v>1714</v>
      </c>
      <c r="D73" s="6" t="s">
        <v>1634</v>
      </c>
      <c r="E73" s="6" t="s">
        <v>1525</v>
      </c>
      <c r="F73" s="6" t="s">
        <v>171</v>
      </c>
      <c r="G73" s="7" t="str">
        <f>HYPERLINK("http://ovidsp.ovid.com/ovidweb.cgi?T=JS&amp;NEWS=n&amp;CSC=Y&amp;PAGE=booktext&amp;D=books&amp;AN=02070812$&amp;XPATH=/PG(0)&amp;EPUB=Y","http://ovidsp.ovid.com/ovidweb.cgi?T=JS&amp;NEWS=n&amp;CSC=Y&amp;PAGE=booktext&amp;D=books&amp;AN=02070812$&amp;XPATH=/PG(0)&amp;EPUB=Y")</f>
        <v>http://ovidsp.ovid.com/ovidweb.cgi?T=JS&amp;NEWS=n&amp;CSC=Y&amp;PAGE=booktext&amp;D=books&amp;AN=02070812$&amp;XPATH=/PG(0)&amp;EPUB=Y</v>
      </c>
      <c r="H73" s="8" t="s">
        <v>1314</v>
      </c>
    </row>
    <row r="74" spans="1:8" x14ac:dyDescent="0.25">
      <c r="A74" s="4" t="s">
        <v>398</v>
      </c>
      <c r="B74" s="5">
        <v>44137</v>
      </c>
      <c r="C74" s="6" t="s">
        <v>334</v>
      </c>
      <c r="D74" s="6" t="s">
        <v>1273</v>
      </c>
      <c r="E74" s="6" t="s">
        <v>1525</v>
      </c>
      <c r="F74" s="6" t="s">
        <v>618</v>
      </c>
      <c r="G74" s="7" t="str">
        <f>HYPERLINK("http://ovidsp.ovid.com/ovidweb.cgi?T=JS&amp;NEWS=n&amp;CSC=Y&amp;PAGE=booktext&amp;D=books&amp;AN=01899911$&amp;XPATH=/PG(0)&amp;EPUB=Y","http://ovidsp.ovid.com/ovidweb.cgi?T=JS&amp;NEWS=n&amp;CSC=Y&amp;PAGE=booktext&amp;D=books&amp;AN=01899911$&amp;XPATH=/PG(0)&amp;EPUB=Y")</f>
        <v>http://ovidsp.ovid.com/ovidweb.cgi?T=JS&amp;NEWS=n&amp;CSC=Y&amp;PAGE=booktext&amp;D=books&amp;AN=01899911$&amp;XPATH=/PG(0)&amp;EPUB=Y</v>
      </c>
      <c r="H74" s="8" t="s">
        <v>1314</v>
      </c>
    </row>
    <row r="75" spans="1:8" x14ac:dyDescent="0.25">
      <c r="A75" s="4" t="s">
        <v>1193</v>
      </c>
      <c r="B75" s="5">
        <v>44137</v>
      </c>
      <c r="C75" s="6" t="s">
        <v>358</v>
      </c>
      <c r="D75" s="6" t="s">
        <v>1688</v>
      </c>
      <c r="E75" s="6" t="s">
        <v>1525</v>
      </c>
      <c r="F75" s="6" t="s">
        <v>1092</v>
      </c>
      <c r="G75" s="7" t="str">
        <f>HYPERLINK("http://ovidsp.ovid.com/ovidweb.cgi?T=JS&amp;NEWS=n&amp;CSC=Y&amp;PAGE=booktext&amp;D=books&amp;AN=01762474$&amp;XPATH=/PG(0)&amp;EPUB=Y","http://ovidsp.ovid.com/ovidweb.cgi?T=JS&amp;NEWS=n&amp;CSC=Y&amp;PAGE=booktext&amp;D=books&amp;AN=01762474$&amp;XPATH=/PG(0)&amp;EPUB=Y")</f>
        <v>http://ovidsp.ovid.com/ovidweb.cgi?T=JS&amp;NEWS=n&amp;CSC=Y&amp;PAGE=booktext&amp;D=books&amp;AN=01762474$&amp;XPATH=/PG(0)&amp;EPUB=Y</v>
      </c>
      <c r="H75" s="8" t="s">
        <v>1220</v>
      </c>
    </row>
    <row r="76" spans="1:8" x14ac:dyDescent="0.25">
      <c r="A76" s="4" t="s">
        <v>1288</v>
      </c>
      <c r="B76" s="5">
        <v>44137</v>
      </c>
      <c r="C76" s="6" t="s">
        <v>1601</v>
      </c>
      <c r="D76" s="6" t="s">
        <v>1404</v>
      </c>
      <c r="E76" s="6" t="s">
        <v>1525</v>
      </c>
      <c r="F76" s="6" t="s">
        <v>1277</v>
      </c>
      <c r="G76" s="7" t="str">
        <f>HYPERLINK("http://ovidsp.ovid.com/ovidweb.cgi?T=JS&amp;NEWS=n&amp;CSC=Y&amp;PAGE=booktext&amp;D=books&amp;AN=02158040$&amp;XPATH=/PG(0)&amp;EPUB=Y","http://ovidsp.ovid.com/ovidweb.cgi?T=JS&amp;NEWS=n&amp;CSC=Y&amp;PAGE=booktext&amp;D=books&amp;AN=02158040$&amp;XPATH=/PG(0)&amp;EPUB=Y")</f>
        <v>http://ovidsp.ovid.com/ovidweb.cgi?T=JS&amp;NEWS=n&amp;CSC=Y&amp;PAGE=booktext&amp;D=books&amp;AN=02158040$&amp;XPATH=/PG(0)&amp;EPUB=Y</v>
      </c>
      <c r="H76" s="8" t="s">
        <v>1220</v>
      </c>
    </row>
    <row r="77" spans="1:8" x14ac:dyDescent="0.25">
      <c r="A77" s="4" t="s">
        <v>477</v>
      </c>
      <c r="B77" s="5">
        <v>44137</v>
      </c>
      <c r="C77" s="6" t="s">
        <v>24</v>
      </c>
      <c r="D77" s="6" t="s">
        <v>1644</v>
      </c>
      <c r="E77" s="6" t="s">
        <v>1525</v>
      </c>
      <c r="F77" s="6" t="s">
        <v>1277</v>
      </c>
      <c r="G77" s="7" t="str">
        <f>HYPERLINK("http://ovidsp.ovid.com/ovidweb.cgi?T=JS&amp;NEWS=n&amp;CSC=Y&amp;PAGE=booktext&amp;D=books&amp;AN=01979442$&amp;XPATH=/PG(0)&amp;EPUB=Y","http://ovidsp.ovid.com/ovidweb.cgi?T=JS&amp;NEWS=n&amp;CSC=Y&amp;PAGE=booktext&amp;D=books&amp;AN=01979442$&amp;XPATH=/PG(0)&amp;EPUB=Y")</f>
        <v>http://ovidsp.ovid.com/ovidweb.cgi?T=JS&amp;NEWS=n&amp;CSC=Y&amp;PAGE=booktext&amp;D=books&amp;AN=01979442$&amp;XPATH=/PG(0)&amp;EPUB=Y</v>
      </c>
      <c r="H77" s="8" t="s">
        <v>1220</v>
      </c>
    </row>
    <row r="78" spans="1:8" x14ac:dyDescent="0.25">
      <c r="A78" s="4" t="s">
        <v>229</v>
      </c>
      <c r="B78" s="5">
        <v>44137</v>
      </c>
      <c r="C78" s="6" t="s">
        <v>693</v>
      </c>
      <c r="D78" s="6" t="s">
        <v>1091</v>
      </c>
      <c r="E78" s="6" t="s">
        <v>1525</v>
      </c>
      <c r="F78" s="6" t="s">
        <v>618</v>
      </c>
      <c r="G78" s="7" t="str">
        <f>HYPERLINK("http://ovidsp.ovid.com/ovidweb.cgi?T=JS&amp;NEWS=n&amp;CSC=Y&amp;PAGE=booktext&amp;D=books&amp;AN=01996204$&amp;XPATH=/PG(0)&amp;EPUB=Y","http://ovidsp.ovid.com/ovidweb.cgi?T=JS&amp;NEWS=n&amp;CSC=Y&amp;PAGE=booktext&amp;D=books&amp;AN=01996204$&amp;XPATH=/PG(0)&amp;EPUB=Y")</f>
        <v>http://ovidsp.ovid.com/ovidweb.cgi?T=JS&amp;NEWS=n&amp;CSC=Y&amp;PAGE=booktext&amp;D=books&amp;AN=01996204$&amp;XPATH=/PG(0)&amp;EPUB=Y</v>
      </c>
      <c r="H78" s="8" t="s">
        <v>1220</v>
      </c>
    </row>
    <row r="79" spans="1:8" x14ac:dyDescent="0.25">
      <c r="A79" s="4" t="s">
        <v>503</v>
      </c>
      <c r="B79" s="5">
        <v>44137</v>
      </c>
      <c r="C79" s="6" t="s">
        <v>1079</v>
      </c>
      <c r="D79" s="6" t="s">
        <v>832</v>
      </c>
      <c r="E79" s="6" t="s">
        <v>1525</v>
      </c>
      <c r="F79" s="6" t="s">
        <v>1277</v>
      </c>
      <c r="G79" s="7" t="str">
        <f>HYPERLINK("http://ovidsp.ovid.com/ovidweb.cgi?T=JS&amp;NEWS=n&amp;CSC=Y&amp;PAGE=booktext&amp;D=books&amp;AN=01817268$&amp;XPATH=/PG(0)&amp;EPUB=Y","http://ovidsp.ovid.com/ovidweb.cgi?T=JS&amp;NEWS=n&amp;CSC=Y&amp;PAGE=booktext&amp;D=books&amp;AN=01817268$&amp;XPATH=/PG(0)&amp;EPUB=Y")</f>
        <v>http://ovidsp.ovid.com/ovidweb.cgi?T=JS&amp;NEWS=n&amp;CSC=Y&amp;PAGE=booktext&amp;D=books&amp;AN=01817268$&amp;XPATH=/PG(0)&amp;EPUB=Y</v>
      </c>
      <c r="H79" s="8" t="s">
        <v>1220</v>
      </c>
    </row>
    <row r="80" spans="1:8" x14ac:dyDescent="0.25">
      <c r="A80" s="4" t="s">
        <v>992</v>
      </c>
      <c r="B80" s="5">
        <v>44137</v>
      </c>
      <c r="C80" s="6" t="s">
        <v>1618</v>
      </c>
      <c r="D80" s="6" t="s">
        <v>348</v>
      </c>
      <c r="E80" s="6" t="s">
        <v>1525</v>
      </c>
      <c r="F80" s="6" t="s">
        <v>444</v>
      </c>
      <c r="G80" s="7" t="str">
        <f>HYPERLINK("http://ovidsp.ovid.com/ovidweb.cgi?T=JS&amp;NEWS=n&amp;CSC=Y&amp;PAGE=booktext&amp;D=books&amp;AN=01960897$&amp;XPATH=/PG(0)&amp;EPUB=Y","http://ovidsp.ovid.com/ovidweb.cgi?T=JS&amp;NEWS=n&amp;CSC=Y&amp;PAGE=booktext&amp;D=books&amp;AN=01960897$&amp;XPATH=/PG(0)&amp;EPUB=Y")</f>
        <v>http://ovidsp.ovid.com/ovidweb.cgi?T=JS&amp;NEWS=n&amp;CSC=Y&amp;PAGE=booktext&amp;D=books&amp;AN=01960897$&amp;XPATH=/PG(0)&amp;EPUB=Y</v>
      </c>
      <c r="H80" s="8" t="s">
        <v>1314</v>
      </c>
    </row>
    <row r="81" spans="1:8" x14ac:dyDescent="0.25">
      <c r="A81" s="4" t="s">
        <v>912</v>
      </c>
      <c r="B81" s="5">
        <v>44137</v>
      </c>
      <c r="C81" s="6" t="s">
        <v>1440</v>
      </c>
      <c r="D81" s="6" t="s">
        <v>1568</v>
      </c>
      <c r="E81" s="6" t="s">
        <v>1525</v>
      </c>
      <c r="F81" s="6" t="s">
        <v>1277</v>
      </c>
      <c r="G81" s="7" t="str">
        <f>HYPERLINK("http://ovidsp.ovid.com/ovidweb.cgi?T=JS&amp;NEWS=n&amp;CSC=Y&amp;PAGE=booktext&amp;D=books&amp;AN=01641746$&amp;XPATH=/PG(0)&amp;EPUB=Y","http://ovidsp.ovid.com/ovidweb.cgi?T=JS&amp;NEWS=n&amp;CSC=Y&amp;PAGE=booktext&amp;D=books&amp;AN=01641746$&amp;XPATH=/PG(0)&amp;EPUB=Y")</f>
        <v>http://ovidsp.ovid.com/ovidweb.cgi?T=JS&amp;NEWS=n&amp;CSC=Y&amp;PAGE=booktext&amp;D=books&amp;AN=01641746$&amp;XPATH=/PG(0)&amp;EPUB=Y</v>
      </c>
      <c r="H81" s="8" t="s">
        <v>1220</v>
      </c>
    </row>
    <row r="82" spans="1:8" x14ac:dyDescent="0.25">
      <c r="A82" s="4" t="s">
        <v>108</v>
      </c>
      <c r="B82" s="5">
        <v>44137</v>
      </c>
      <c r="C82" s="6" t="s">
        <v>1524</v>
      </c>
      <c r="D82" s="6" t="s">
        <v>568</v>
      </c>
      <c r="E82" s="6" t="s">
        <v>1525</v>
      </c>
      <c r="F82" s="6" t="s">
        <v>1277</v>
      </c>
      <c r="G82" s="7" t="str">
        <f>HYPERLINK("http://ovidsp.ovid.com/ovidweb.cgi?T=JS&amp;NEWS=n&amp;CSC=Y&amp;PAGE=booktext&amp;D=books&amp;AN=02091977$&amp;XPATH=/PG(0)&amp;EPUB=Y","http://ovidsp.ovid.com/ovidweb.cgi?T=JS&amp;NEWS=n&amp;CSC=Y&amp;PAGE=booktext&amp;D=books&amp;AN=02091977$&amp;XPATH=/PG(0)&amp;EPUB=Y")</f>
        <v>http://ovidsp.ovid.com/ovidweb.cgi?T=JS&amp;NEWS=n&amp;CSC=Y&amp;PAGE=booktext&amp;D=books&amp;AN=02091977$&amp;XPATH=/PG(0)&amp;EPUB=Y</v>
      </c>
      <c r="H82" s="8" t="s">
        <v>1314</v>
      </c>
    </row>
    <row r="83" spans="1:8" x14ac:dyDescent="0.25">
      <c r="A83" s="4" t="s">
        <v>170</v>
      </c>
      <c r="B83" s="5">
        <v>44137</v>
      </c>
      <c r="C83" s="6" t="s">
        <v>1188</v>
      </c>
      <c r="D83" s="6" t="s">
        <v>258</v>
      </c>
      <c r="E83" s="6" t="s">
        <v>1525</v>
      </c>
      <c r="F83" s="6" t="s">
        <v>618</v>
      </c>
      <c r="G83" s="7" t="str">
        <f>HYPERLINK("http://ovidsp.ovid.com/ovidweb.cgi?T=JS&amp;NEWS=n&amp;CSC=Y&amp;PAGE=booktext&amp;D=books&amp;AN=01817259$&amp;XPATH=/PG(0)&amp;EPUB=Y","http://ovidsp.ovid.com/ovidweb.cgi?T=JS&amp;NEWS=n&amp;CSC=Y&amp;PAGE=booktext&amp;D=books&amp;AN=01817259$&amp;XPATH=/PG(0)&amp;EPUB=Y")</f>
        <v>http://ovidsp.ovid.com/ovidweb.cgi?T=JS&amp;NEWS=n&amp;CSC=Y&amp;PAGE=booktext&amp;D=books&amp;AN=01817259$&amp;XPATH=/PG(0)&amp;EPUB=Y</v>
      </c>
      <c r="H83" s="8" t="s">
        <v>1220</v>
      </c>
    </row>
    <row r="84" spans="1:8" x14ac:dyDescent="0.25">
      <c r="A84" s="4" t="s">
        <v>964</v>
      </c>
      <c r="B84" s="5">
        <v>44137</v>
      </c>
      <c r="C84" s="6" t="s">
        <v>589</v>
      </c>
      <c r="D84" s="6" t="s">
        <v>1054</v>
      </c>
      <c r="E84" s="6" t="s">
        <v>1525</v>
      </c>
      <c r="F84" s="6" t="s">
        <v>1092</v>
      </c>
      <c r="G84" s="7" t="str">
        <f>HYPERLINK("http://ovidsp.ovid.com/ovidweb.cgi?T=JS&amp;NEWS=n&amp;CSC=Y&amp;PAGE=booktext&amp;D=books&amp;AN=01817269$&amp;XPATH=/PG(0)&amp;EPUB=Y","http://ovidsp.ovid.com/ovidweb.cgi?T=JS&amp;NEWS=n&amp;CSC=Y&amp;PAGE=booktext&amp;D=books&amp;AN=01817269$&amp;XPATH=/PG(0)&amp;EPUB=Y")</f>
        <v>http://ovidsp.ovid.com/ovidweb.cgi?T=JS&amp;NEWS=n&amp;CSC=Y&amp;PAGE=booktext&amp;D=books&amp;AN=01817269$&amp;XPATH=/PG(0)&amp;EPUB=Y</v>
      </c>
      <c r="H84" s="8" t="s">
        <v>1220</v>
      </c>
    </row>
    <row r="85" spans="1:8" x14ac:dyDescent="0.25">
      <c r="A85" s="4" t="s">
        <v>12</v>
      </c>
      <c r="B85" s="5">
        <v>44137</v>
      </c>
      <c r="C85" s="6" t="s">
        <v>557</v>
      </c>
      <c r="D85" s="6" t="s">
        <v>796</v>
      </c>
      <c r="E85" s="6" t="s">
        <v>1525</v>
      </c>
      <c r="F85" s="6" t="s">
        <v>1161</v>
      </c>
      <c r="G85" s="7" t="str">
        <f>HYPERLINK("http://ovidsp.ovid.com/ovidweb.cgi?T=JS&amp;NEWS=n&amp;CSC=Y&amp;PAGE=booktext&amp;D=books&amp;AN=02087456$&amp;XPATH=/PG(0)&amp;EPUB=Y","http://ovidsp.ovid.com/ovidweb.cgi?T=JS&amp;NEWS=n&amp;CSC=Y&amp;PAGE=booktext&amp;D=books&amp;AN=02087456$&amp;XPATH=/PG(0)&amp;EPUB=Y")</f>
        <v>http://ovidsp.ovid.com/ovidweb.cgi?T=JS&amp;NEWS=n&amp;CSC=Y&amp;PAGE=booktext&amp;D=books&amp;AN=02087456$&amp;XPATH=/PG(0)&amp;EPUB=Y</v>
      </c>
      <c r="H85" s="8" t="s">
        <v>1220</v>
      </c>
    </row>
    <row r="86" spans="1:8" x14ac:dyDescent="0.25">
      <c r="A86" s="4" t="s">
        <v>376</v>
      </c>
      <c r="B86" s="5">
        <v>44137</v>
      </c>
      <c r="C86" s="6" t="s">
        <v>184</v>
      </c>
      <c r="D86" s="6" t="s">
        <v>1480</v>
      </c>
      <c r="E86" s="6" t="s">
        <v>1525</v>
      </c>
      <c r="F86" s="6" t="s">
        <v>1092</v>
      </c>
      <c r="G86" s="7" t="str">
        <f>HYPERLINK("http://ovidsp.ovid.com/ovidweb.cgi?T=JS&amp;NEWS=n&amp;CSC=Y&amp;PAGE=booktext&amp;D=books&amp;AN=02107294$&amp;XPATH=/PG(0)&amp;EPUB=Y","http://ovidsp.ovid.com/ovidweb.cgi?T=JS&amp;NEWS=n&amp;CSC=Y&amp;PAGE=booktext&amp;D=books&amp;AN=02107294$&amp;XPATH=/PG(0)&amp;EPUB=Y")</f>
        <v>http://ovidsp.ovid.com/ovidweb.cgi?T=JS&amp;NEWS=n&amp;CSC=Y&amp;PAGE=booktext&amp;D=books&amp;AN=02107294$&amp;XPATH=/PG(0)&amp;EPUB=Y</v>
      </c>
      <c r="H86" s="8" t="s">
        <v>1220</v>
      </c>
    </row>
    <row r="87" spans="1:8" x14ac:dyDescent="0.25">
      <c r="A87" s="4" t="s">
        <v>652</v>
      </c>
      <c r="B87" s="5">
        <v>44137</v>
      </c>
      <c r="C87" s="6" t="s">
        <v>90</v>
      </c>
      <c r="D87" s="6" t="s">
        <v>1428</v>
      </c>
      <c r="E87" s="6" t="s">
        <v>1525</v>
      </c>
      <c r="F87" s="6" t="s">
        <v>1161</v>
      </c>
      <c r="G87" s="7" t="str">
        <f>HYPERLINK("http://ovidsp.ovid.com/ovidweb.cgi?T=JS&amp;NEWS=n&amp;CSC=Y&amp;PAGE=booktext&amp;D=books&amp;AN=01438863$&amp;XPATH=/PG(0)&amp;EPUB=Y","http://ovidsp.ovid.com/ovidweb.cgi?T=JS&amp;NEWS=n&amp;CSC=Y&amp;PAGE=booktext&amp;D=books&amp;AN=01438863$&amp;XPATH=/PG(0)&amp;EPUB=Y")</f>
        <v>http://ovidsp.ovid.com/ovidweb.cgi?T=JS&amp;NEWS=n&amp;CSC=Y&amp;PAGE=booktext&amp;D=books&amp;AN=01438863$&amp;XPATH=/PG(0)&amp;EPUB=Y</v>
      </c>
      <c r="H87" s="8" t="s">
        <v>1220</v>
      </c>
    </row>
    <row r="88" spans="1:8" x14ac:dyDescent="0.25">
      <c r="A88" s="4" t="s">
        <v>1743</v>
      </c>
      <c r="B88" s="5">
        <v>44137</v>
      </c>
      <c r="C88" s="6" t="s">
        <v>631</v>
      </c>
      <c r="D88" s="6" t="s">
        <v>1536</v>
      </c>
      <c r="E88" s="6" t="s">
        <v>1525</v>
      </c>
      <c r="F88" s="6" t="s">
        <v>1092</v>
      </c>
      <c r="G88" s="7" t="str">
        <f>HYPERLINK("http://ovidsp.ovid.com/ovidweb.cgi?T=JS&amp;NEWS=n&amp;CSC=Y&amp;PAGE=booktext&amp;D=books&amp;AN=02118607$&amp;XPATH=/PG(0)&amp;EPUB=Y","http://ovidsp.ovid.com/ovidweb.cgi?T=JS&amp;NEWS=n&amp;CSC=Y&amp;PAGE=booktext&amp;D=books&amp;AN=02118607$&amp;XPATH=/PG(0)&amp;EPUB=Y")</f>
        <v>http://ovidsp.ovid.com/ovidweb.cgi?T=JS&amp;NEWS=n&amp;CSC=Y&amp;PAGE=booktext&amp;D=books&amp;AN=02118607$&amp;XPATH=/PG(0)&amp;EPUB=Y</v>
      </c>
      <c r="H88" s="8" t="s">
        <v>1220</v>
      </c>
    </row>
    <row r="89" spans="1:8" x14ac:dyDescent="0.25">
      <c r="A89" s="4" t="s">
        <v>716</v>
      </c>
      <c r="B89" s="5">
        <v>44137</v>
      </c>
      <c r="C89" s="6" t="s">
        <v>1466</v>
      </c>
      <c r="D89" s="6" t="s">
        <v>1047</v>
      </c>
      <c r="E89" s="6" t="s">
        <v>1525</v>
      </c>
      <c r="F89" s="6" t="s">
        <v>845</v>
      </c>
      <c r="G89" s="7" t="str">
        <f>HYPERLINK("http://ovidsp.ovid.com/ovidweb.cgi?T=JS&amp;NEWS=n&amp;CSC=Y&amp;PAGE=booktext&amp;D=books&amp;AN=02039717$&amp;XPATH=/PG(0)&amp;EPUB=Y","http://ovidsp.ovid.com/ovidweb.cgi?T=JS&amp;NEWS=n&amp;CSC=Y&amp;PAGE=booktext&amp;D=books&amp;AN=02039717$&amp;XPATH=/PG(0)&amp;EPUB=Y")</f>
        <v>http://ovidsp.ovid.com/ovidweb.cgi?T=JS&amp;NEWS=n&amp;CSC=Y&amp;PAGE=booktext&amp;D=books&amp;AN=02039717$&amp;XPATH=/PG(0)&amp;EPUB=Y</v>
      </c>
      <c r="H89" s="8" t="s">
        <v>1220</v>
      </c>
    </row>
    <row r="90" spans="1:8" x14ac:dyDescent="0.25">
      <c r="A90" s="4" t="s">
        <v>802</v>
      </c>
      <c r="B90" s="5">
        <v>44137</v>
      </c>
      <c r="C90" s="6" t="s">
        <v>954</v>
      </c>
      <c r="D90" s="6" t="s">
        <v>247</v>
      </c>
      <c r="E90" s="6" t="s">
        <v>1525</v>
      </c>
      <c r="F90" s="6" t="s">
        <v>444</v>
      </c>
      <c r="G90" s="7" t="str">
        <f>HYPERLINK("http://ovidsp.ovid.com/ovidweb.cgi?T=JS&amp;NEWS=n&amp;CSC=Y&amp;PAGE=booktext&amp;D=books&amp;AN=01884417$&amp;XPATH=/PG(0)&amp;EPUB=Y","http://ovidsp.ovid.com/ovidweb.cgi?T=JS&amp;NEWS=n&amp;CSC=Y&amp;PAGE=booktext&amp;D=books&amp;AN=01884417$&amp;XPATH=/PG(0)&amp;EPUB=Y")</f>
        <v>http://ovidsp.ovid.com/ovidweb.cgi?T=JS&amp;NEWS=n&amp;CSC=Y&amp;PAGE=booktext&amp;D=books&amp;AN=01884417$&amp;XPATH=/PG(0)&amp;EPUB=Y</v>
      </c>
      <c r="H90" s="8" t="s">
        <v>1314</v>
      </c>
    </row>
    <row r="91" spans="1:8" x14ac:dyDescent="0.25">
      <c r="A91" s="4" t="s">
        <v>1717</v>
      </c>
      <c r="B91" s="5">
        <v>44137</v>
      </c>
      <c r="C91" s="6" t="s">
        <v>469</v>
      </c>
      <c r="D91" s="6" t="s">
        <v>1335</v>
      </c>
      <c r="E91" s="6" t="s">
        <v>1525</v>
      </c>
      <c r="F91" s="6" t="s">
        <v>1122</v>
      </c>
      <c r="G91" s="7" t="str">
        <f>HYPERLINK("http://ovidsp.ovid.com/ovidweb.cgi?T=JS&amp;NEWS=n&amp;CSC=Y&amp;PAGE=booktext&amp;D=books&amp;AN=02003485$&amp;XPATH=/PG(0)&amp;EPUB=Y","http://ovidsp.ovid.com/ovidweb.cgi?T=JS&amp;NEWS=n&amp;CSC=Y&amp;PAGE=booktext&amp;D=books&amp;AN=02003485$&amp;XPATH=/PG(0)&amp;EPUB=Y")</f>
        <v>http://ovidsp.ovid.com/ovidweb.cgi?T=JS&amp;NEWS=n&amp;CSC=Y&amp;PAGE=booktext&amp;D=books&amp;AN=02003485$&amp;XPATH=/PG(0)&amp;EPUB=Y</v>
      </c>
      <c r="H91" s="8" t="s">
        <v>1314</v>
      </c>
    </row>
    <row r="92" spans="1:8" x14ac:dyDescent="0.25">
      <c r="A92" s="4" t="s">
        <v>642</v>
      </c>
      <c r="B92" s="5">
        <v>44137</v>
      </c>
      <c r="C92" s="6" t="s">
        <v>411</v>
      </c>
      <c r="D92" s="6" t="s">
        <v>1218</v>
      </c>
      <c r="E92" s="6" t="s">
        <v>1525</v>
      </c>
      <c r="F92" s="6" t="s">
        <v>1000</v>
      </c>
      <c r="G92" s="7" t="str">
        <f>HYPERLINK("http://ovidsp.ovid.com/ovidweb.cgi?T=JS&amp;NEWS=n&amp;CSC=Y&amp;PAGE=booktext&amp;D=books&amp;AN=01979445$&amp;XPATH=/PG(0)&amp;EPUB=Y","http://ovidsp.ovid.com/ovidweb.cgi?T=JS&amp;NEWS=n&amp;CSC=Y&amp;PAGE=booktext&amp;D=books&amp;AN=01979445$&amp;XPATH=/PG(0)&amp;EPUB=Y")</f>
        <v>http://ovidsp.ovid.com/ovidweb.cgi?T=JS&amp;NEWS=n&amp;CSC=Y&amp;PAGE=booktext&amp;D=books&amp;AN=01979445$&amp;XPATH=/PG(0)&amp;EPUB=Y</v>
      </c>
      <c r="H92" s="8" t="s">
        <v>1220</v>
      </c>
    </row>
    <row r="93" spans="1:8" x14ac:dyDescent="0.25">
      <c r="A93" s="4" t="s">
        <v>1028</v>
      </c>
      <c r="B93" s="5">
        <v>44137</v>
      </c>
      <c r="C93" s="6" t="s">
        <v>137</v>
      </c>
      <c r="D93" s="6" t="s">
        <v>1638</v>
      </c>
      <c r="E93" s="6" t="s">
        <v>1525</v>
      </c>
      <c r="F93" s="6" t="s">
        <v>236</v>
      </c>
      <c r="G93" s="7" t="str">
        <f>HYPERLINK("http://ovidsp.ovid.com/ovidweb.cgi?T=JS&amp;NEWS=n&amp;CSC=Y&amp;PAGE=booktext&amp;D=books&amp;AN=01787251$&amp;XPATH=/PG(0)&amp;EPUB=Y","http://ovidsp.ovid.com/ovidweb.cgi?T=JS&amp;NEWS=n&amp;CSC=Y&amp;PAGE=booktext&amp;D=books&amp;AN=01787251$&amp;XPATH=/PG(0)&amp;EPUB=Y")</f>
        <v>http://ovidsp.ovid.com/ovidweb.cgi?T=JS&amp;NEWS=n&amp;CSC=Y&amp;PAGE=booktext&amp;D=books&amp;AN=01787251$&amp;XPATH=/PG(0)&amp;EPUB=Y</v>
      </c>
      <c r="H93" s="8" t="s">
        <v>1220</v>
      </c>
    </row>
    <row r="94" spans="1:8" x14ac:dyDescent="0.25">
      <c r="A94" s="4" t="s">
        <v>1348</v>
      </c>
      <c r="B94" s="5">
        <v>44137</v>
      </c>
      <c r="C94" s="6" t="s">
        <v>1371</v>
      </c>
      <c r="D94" s="6" t="s">
        <v>1672</v>
      </c>
      <c r="E94" s="6" t="s">
        <v>1525</v>
      </c>
      <c r="F94" s="6" t="s">
        <v>236</v>
      </c>
      <c r="G94" s="7" t="str">
        <f>HYPERLINK("http://ovidsp.ovid.com/ovidweb.cgi?T=JS&amp;NEWS=n&amp;CSC=Y&amp;PAGE=booktext&amp;D=books&amp;AN=01817270$&amp;XPATH=/PG(0)&amp;EPUB=Y","http://ovidsp.ovid.com/ovidweb.cgi?T=JS&amp;NEWS=n&amp;CSC=Y&amp;PAGE=booktext&amp;D=books&amp;AN=01817270$&amp;XPATH=/PG(0)&amp;EPUB=Y")</f>
        <v>http://ovidsp.ovid.com/ovidweb.cgi?T=JS&amp;NEWS=n&amp;CSC=Y&amp;PAGE=booktext&amp;D=books&amp;AN=01817270$&amp;XPATH=/PG(0)&amp;EPUB=Y</v>
      </c>
      <c r="H94" s="8" t="s">
        <v>1220</v>
      </c>
    </row>
    <row r="95" spans="1:8" x14ac:dyDescent="0.25">
      <c r="A95" s="4" t="s">
        <v>76</v>
      </c>
      <c r="B95" s="5">
        <v>44137</v>
      </c>
      <c r="C95" s="6" t="s">
        <v>165</v>
      </c>
      <c r="D95" s="6" t="s">
        <v>30</v>
      </c>
      <c r="E95" s="6" t="s">
        <v>1525</v>
      </c>
      <c r="F95" s="6" t="s">
        <v>845</v>
      </c>
      <c r="G95" s="7" t="str">
        <f>HYPERLINK("http://ovidsp.ovid.com/ovidweb.cgi?T=JS&amp;NEWS=n&amp;CSC=Y&amp;PAGE=booktext&amp;D=books&amp;AN=01439410$&amp;XPATH=/PG(0)&amp;EPUB=Y","http://ovidsp.ovid.com/ovidweb.cgi?T=JS&amp;NEWS=n&amp;CSC=Y&amp;PAGE=booktext&amp;D=books&amp;AN=01439410$&amp;XPATH=/PG(0)&amp;EPUB=Y")</f>
        <v>http://ovidsp.ovid.com/ovidweb.cgi?T=JS&amp;NEWS=n&amp;CSC=Y&amp;PAGE=booktext&amp;D=books&amp;AN=01439410$&amp;XPATH=/PG(0)&amp;EPUB=Y</v>
      </c>
      <c r="H95" s="8" t="s">
        <v>1220</v>
      </c>
    </row>
    <row r="96" spans="1:8" x14ac:dyDescent="0.25">
      <c r="A96" s="4" t="s">
        <v>666</v>
      </c>
      <c r="B96" s="5">
        <v>44137</v>
      </c>
      <c r="C96" s="6" t="s">
        <v>816</v>
      </c>
      <c r="D96" s="6" t="s">
        <v>1194</v>
      </c>
      <c r="E96" s="6" t="s">
        <v>1525</v>
      </c>
      <c r="F96" s="6" t="s">
        <v>1277</v>
      </c>
      <c r="G96" s="7" t="str">
        <f>HYPERLINK("http://ovidsp.ovid.com/ovidweb.cgi?T=JS&amp;NEWS=n&amp;CSC=Y&amp;PAGE=booktext&amp;D=books&amp;AN=02144597$&amp;XPATH=/PG(0)&amp;EPUB=Y","http://ovidsp.ovid.com/ovidweb.cgi?T=JS&amp;NEWS=n&amp;CSC=Y&amp;PAGE=booktext&amp;D=books&amp;AN=02144597$&amp;XPATH=/PG(0)&amp;EPUB=Y")</f>
        <v>http://ovidsp.ovid.com/ovidweb.cgi?T=JS&amp;NEWS=n&amp;CSC=Y&amp;PAGE=booktext&amp;D=books&amp;AN=02144597$&amp;XPATH=/PG(0)&amp;EPUB=Y</v>
      </c>
      <c r="H96" s="8" t="s">
        <v>1220</v>
      </c>
    </row>
    <row r="97" spans="1:8" x14ac:dyDescent="0.25">
      <c r="A97" s="4" t="s">
        <v>801</v>
      </c>
      <c r="B97" s="5">
        <v>44137</v>
      </c>
      <c r="C97" s="6" t="s">
        <v>413</v>
      </c>
      <c r="D97" s="6" t="s">
        <v>1679</v>
      </c>
      <c r="E97" s="6" t="s">
        <v>1525</v>
      </c>
      <c r="F97" s="6" t="s">
        <v>1161</v>
      </c>
      <c r="G97" s="7" t="str">
        <f>HYPERLINK("http://ovidsp.ovid.com/ovidweb.cgi?T=JS&amp;NEWS=n&amp;CSC=Y&amp;PAGE=booktext&amp;D=books&amp;AN=01929430$&amp;XPATH=/PG(0)&amp;EPUB=Y","http://ovidsp.ovid.com/ovidweb.cgi?T=JS&amp;NEWS=n&amp;CSC=Y&amp;PAGE=booktext&amp;D=books&amp;AN=01929430$&amp;XPATH=/PG(0)&amp;EPUB=Y")</f>
        <v>http://ovidsp.ovid.com/ovidweb.cgi?T=JS&amp;NEWS=n&amp;CSC=Y&amp;PAGE=booktext&amp;D=books&amp;AN=01929430$&amp;XPATH=/PG(0)&amp;EPUB=Y</v>
      </c>
      <c r="H97" s="8" t="s">
        <v>1220</v>
      </c>
    </row>
    <row r="98" spans="1:8" x14ac:dyDescent="0.25">
      <c r="A98" s="4" t="s">
        <v>292</v>
      </c>
      <c r="B98" s="5">
        <v>44137</v>
      </c>
      <c r="C98" s="6" t="s">
        <v>352</v>
      </c>
      <c r="D98" s="6" t="s">
        <v>232</v>
      </c>
      <c r="E98" s="6" t="s">
        <v>1525</v>
      </c>
      <c r="F98" s="6" t="s">
        <v>1092</v>
      </c>
      <c r="G98" s="7" t="str">
        <f>HYPERLINK("http://ovidsp.ovid.com/ovidweb.cgi?T=JS&amp;NEWS=n&amp;CSC=Y&amp;PAGE=booktext&amp;D=books&amp;AN=01762476$&amp;XPATH=/PG(0)&amp;EPUB=Y","http://ovidsp.ovid.com/ovidweb.cgi?T=JS&amp;NEWS=n&amp;CSC=Y&amp;PAGE=booktext&amp;D=books&amp;AN=01762476$&amp;XPATH=/PG(0)&amp;EPUB=Y")</f>
        <v>http://ovidsp.ovid.com/ovidweb.cgi?T=JS&amp;NEWS=n&amp;CSC=Y&amp;PAGE=booktext&amp;D=books&amp;AN=01762476$&amp;XPATH=/PG(0)&amp;EPUB=Y</v>
      </c>
      <c r="H98" s="8" t="s">
        <v>1220</v>
      </c>
    </row>
    <row r="99" spans="1:8" x14ac:dyDescent="0.25">
      <c r="A99" s="4" t="s">
        <v>953</v>
      </c>
      <c r="B99" s="5">
        <v>44137</v>
      </c>
      <c r="C99" s="6" t="s">
        <v>1104</v>
      </c>
      <c r="D99" s="6" t="s">
        <v>416</v>
      </c>
      <c r="E99" s="6" t="s">
        <v>1525</v>
      </c>
      <c r="F99" s="6" t="s">
        <v>845</v>
      </c>
      <c r="G99" s="7" t="str">
        <f>HYPERLINK("http://ovidsp.ovid.com/ovidweb.cgi?T=JS&amp;NEWS=n&amp;CSC=Y&amp;PAGE=booktext&amp;D=books&amp;AN=02163060$&amp;XPATH=/PG(0)&amp;EPUB=Y","http://ovidsp.ovid.com/ovidweb.cgi?T=JS&amp;NEWS=n&amp;CSC=Y&amp;PAGE=booktext&amp;D=books&amp;AN=02163060$&amp;XPATH=/PG(0)&amp;EPUB=Y")</f>
        <v>http://ovidsp.ovid.com/ovidweb.cgi?T=JS&amp;NEWS=n&amp;CSC=Y&amp;PAGE=booktext&amp;D=books&amp;AN=02163060$&amp;XPATH=/PG(0)&amp;EPUB=Y</v>
      </c>
      <c r="H99" s="8" t="s">
        <v>1220</v>
      </c>
    </row>
    <row r="100" spans="1:8" x14ac:dyDescent="0.25">
      <c r="A100" s="4" t="s">
        <v>1120</v>
      </c>
      <c r="B100" s="5">
        <v>44137</v>
      </c>
      <c r="C100" s="6" t="s">
        <v>1271</v>
      </c>
      <c r="D100" s="6" t="s">
        <v>1673</v>
      </c>
      <c r="E100" s="6" t="s">
        <v>1525</v>
      </c>
      <c r="F100" s="6" t="s">
        <v>444</v>
      </c>
      <c r="G100" s="7" t="str">
        <f>HYPERLINK("http://ovidsp.ovid.com/ovidweb.cgi?T=JS&amp;NEWS=n&amp;CSC=Y&amp;PAGE=booktext&amp;D=books&amp;AN=02050024$&amp;XPATH=/PG(0)&amp;EPUB=Y","http://ovidsp.ovid.com/ovidweb.cgi?T=JS&amp;NEWS=n&amp;CSC=Y&amp;PAGE=booktext&amp;D=books&amp;AN=02050024$&amp;XPATH=/PG(0)&amp;EPUB=Y")</f>
        <v>http://ovidsp.ovid.com/ovidweb.cgi?T=JS&amp;NEWS=n&amp;CSC=Y&amp;PAGE=booktext&amp;D=books&amp;AN=02050024$&amp;XPATH=/PG(0)&amp;EPUB=Y</v>
      </c>
      <c r="H100" s="8" t="s">
        <v>1220</v>
      </c>
    </row>
    <row r="101" spans="1:8" x14ac:dyDescent="0.25">
      <c r="A101" s="4" t="s">
        <v>1682</v>
      </c>
      <c r="B101" s="5">
        <v>44137</v>
      </c>
      <c r="C101" s="6" t="s">
        <v>1397</v>
      </c>
      <c r="D101" s="6" t="s">
        <v>619</v>
      </c>
      <c r="E101" s="6" t="s">
        <v>1525</v>
      </c>
      <c r="F101" s="6" t="s">
        <v>236</v>
      </c>
      <c r="G101" s="7" t="str">
        <f>HYPERLINK("http://ovidsp.ovid.com/ovidweb.cgi?T=JS&amp;NEWS=n&amp;CSC=Y&amp;PAGE=booktext&amp;D=books&amp;AN=02097326$&amp;XPATH=/PG(0)&amp;EPUB=Y","http://ovidsp.ovid.com/ovidweb.cgi?T=JS&amp;NEWS=n&amp;CSC=Y&amp;PAGE=booktext&amp;D=books&amp;AN=02097326$&amp;XPATH=/PG(0)&amp;EPUB=Y")</f>
        <v>http://ovidsp.ovid.com/ovidweb.cgi?T=JS&amp;NEWS=n&amp;CSC=Y&amp;PAGE=booktext&amp;D=books&amp;AN=02097326$&amp;XPATH=/PG(0)&amp;EPUB=Y</v>
      </c>
      <c r="H101" s="8" t="s">
        <v>1220</v>
      </c>
    </row>
    <row r="102" spans="1:8" x14ac:dyDescent="0.25">
      <c r="A102" s="4" t="s">
        <v>251</v>
      </c>
      <c r="B102" s="5">
        <v>44137</v>
      </c>
      <c r="C102" s="6" t="s">
        <v>767</v>
      </c>
      <c r="D102" s="6" t="s">
        <v>465</v>
      </c>
      <c r="E102" s="6" t="s">
        <v>1525</v>
      </c>
      <c r="F102" s="6" t="s">
        <v>444</v>
      </c>
      <c r="G102" s="7" t="str">
        <f>HYPERLINK("http://ovidsp.ovid.com/ovidweb.cgi?T=JS&amp;NEWS=n&amp;CSC=Y&amp;PAGE=booktext&amp;D=books&amp;AN=02050045$&amp;XPATH=/PG(0)&amp;EPUB=Y","http://ovidsp.ovid.com/ovidweb.cgi?T=JS&amp;NEWS=n&amp;CSC=Y&amp;PAGE=booktext&amp;D=books&amp;AN=02050045$&amp;XPATH=/PG(0)&amp;EPUB=Y")</f>
        <v>http://ovidsp.ovid.com/ovidweb.cgi?T=JS&amp;NEWS=n&amp;CSC=Y&amp;PAGE=booktext&amp;D=books&amp;AN=02050045$&amp;XPATH=/PG(0)&amp;EPUB=Y</v>
      </c>
      <c r="H102" s="8" t="s">
        <v>1220</v>
      </c>
    </row>
    <row r="103" spans="1:8" x14ac:dyDescent="0.25">
      <c r="A103" s="4" t="s">
        <v>1624</v>
      </c>
      <c r="B103" s="5">
        <v>44137</v>
      </c>
      <c r="C103" s="6" t="s">
        <v>862</v>
      </c>
      <c r="D103" s="6" t="s">
        <v>1306</v>
      </c>
      <c r="E103" s="6" t="s">
        <v>1525</v>
      </c>
      <c r="F103" s="6" t="s">
        <v>1122</v>
      </c>
      <c r="G103" s="7" t="str">
        <f>HYPERLINK("http://ovidsp.ovid.com/ovidweb.cgi?T=JS&amp;NEWS=n&amp;CSC=Y&amp;PAGE=booktext&amp;D=books&amp;AN=02186179$&amp;XPATH=/PG(0)&amp;EPUB=Y","http://ovidsp.ovid.com/ovidweb.cgi?T=JS&amp;NEWS=n&amp;CSC=Y&amp;PAGE=booktext&amp;D=books&amp;AN=02186179$&amp;XPATH=/PG(0)&amp;EPUB=Y")</f>
        <v>http://ovidsp.ovid.com/ovidweb.cgi?T=JS&amp;NEWS=n&amp;CSC=Y&amp;PAGE=booktext&amp;D=books&amp;AN=02186179$&amp;XPATH=/PG(0)&amp;EPUB=Y</v>
      </c>
      <c r="H103" s="8" t="s">
        <v>1220</v>
      </c>
    </row>
    <row r="104" spans="1:8" x14ac:dyDescent="0.25">
      <c r="A104" s="4" t="s">
        <v>650</v>
      </c>
      <c r="B104" s="5">
        <v>44137</v>
      </c>
      <c r="C104" s="6" t="s">
        <v>1402</v>
      </c>
      <c r="D104" s="6" t="s">
        <v>689</v>
      </c>
      <c r="E104" s="6" t="s">
        <v>1525</v>
      </c>
      <c r="F104" s="6" t="s">
        <v>1092</v>
      </c>
      <c r="G104" s="7" t="str">
        <f>HYPERLINK("http://ovidsp.ovid.com/ovidweb.cgi?T=JS&amp;NEWS=n&amp;CSC=Y&amp;PAGE=booktext&amp;D=books&amp;AN=01938974$&amp;XPATH=/PG(0)&amp;EPUB=Y","http://ovidsp.ovid.com/ovidweb.cgi?T=JS&amp;NEWS=n&amp;CSC=Y&amp;PAGE=booktext&amp;D=books&amp;AN=01938974$&amp;XPATH=/PG(0)&amp;EPUB=Y")</f>
        <v>http://ovidsp.ovid.com/ovidweb.cgi?T=JS&amp;NEWS=n&amp;CSC=Y&amp;PAGE=booktext&amp;D=books&amp;AN=01938974$&amp;XPATH=/PG(0)&amp;EPUB=Y</v>
      </c>
      <c r="H104" s="8" t="s">
        <v>1220</v>
      </c>
    </row>
    <row r="105" spans="1:8" x14ac:dyDescent="0.25">
      <c r="A105" s="4" t="s">
        <v>575</v>
      </c>
      <c r="B105" s="5">
        <v>44137</v>
      </c>
      <c r="C105" s="6" t="s">
        <v>820</v>
      </c>
      <c r="D105" s="6" t="s">
        <v>534</v>
      </c>
      <c r="E105" s="6" t="s">
        <v>1525</v>
      </c>
      <c r="F105" s="6" t="s">
        <v>1122</v>
      </c>
      <c r="G105" s="7" t="str">
        <f>HYPERLINK("http://ovidsp.ovid.com/ovidweb.cgi?T=JS&amp;NEWS=n&amp;CSC=Y&amp;PAGE=booktext&amp;D=books&amp;AN=01979447$&amp;XPATH=/PG(0)&amp;EPUB=Y","http://ovidsp.ovid.com/ovidweb.cgi?T=JS&amp;NEWS=n&amp;CSC=Y&amp;PAGE=booktext&amp;D=books&amp;AN=01979447$&amp;XPATH=/PG(0)&amp;EPUB=Y")</f>
        <v>http://ovidsp.ovid.com/ovidweb.cgi?T=JS&amp;NEWS=n&amp;CSC=Y&amp;PAGE=booktext&amp;D=books&amp;AN=01979447$&amp;XPATH=/PG(0)&amp;EPUB=Y</v>
      </c>
      <c r="H105" s="8" t="s">
        <v>1220</v>
      </c>
    </row>
    <row r="106" spans="1:8" x14ac:dyDescent="0.25">
      <c r="A106" s="4" t="s">
        <v>1546</v>
      </c>
      <c r="B106" s="5">
        <v>44137</v>
      </c>
      <c r="C106" s="6" t="s">
        <v>466</v>
      </c>
      <c r="D106" s="6" t="s">
        <v>208</v>
      </c>
      <c r="E106" s="6" t="s">
        <v>1525</v>
      </c>
      <c r="F106" s="6" t="s">
        <v>1092</v>
      </c>
      <c r="G106" s="7" t="str">
        <f>HYPERLINK("http://ovidsp.ovid.com/ovidweb.cgi?T=JS&amp;NEWS=n&amp;CSC=Y&amp;PAGE=booktext&amp;D=books&amp;AN=02003484$&amp;XPATH=/PG(0)&amp;EPUB=Y","http://ovidsp.ovid.com/ovidweb.cgi?T=JS&amp;NEWS=n&amp;CSC=Y&amp;PAGE=booktext&amp;D=books&amp;AN=02003484$&amp;XPATH=/PG(0)&amp;EPUB=Y")</f>
        <v>http://ovidsp.ovid.com/ovidweb.cgi?T=JS&amp;NEWS=n&amp;CSC=Y&amp;PAGE=booktext&amp;D=books&amp;AN=02003484$&amp;XPATH=/PG(0)&amp;EPUB=Y</v>
      </c>
      <c r="H106" s="8" t="s">
        <v>1314</v>
      </c>
    </row>
    <row r="107" spans="1:8" x14ac:dyDescent="0.25">
      <c r="A107" s="4" t="s">
        <v>1449</v>
      </c>
      <c r="B107" s="5">
        <v>44137</v>
      </c>
      <c r="C107" s="6" t="s">
        <v>431</v>
      </c>
      <c r="D107" s="6" t="s">
        <v>209</v>
      </c>
      <c r="E107" s="6" t="s">
        <v>1525</v>
      </c>
      <c r="F107" s="6" t="s">
        <v>1277</v>
      </c>
      <c r="G107" s="7" t="str">
        <f>HYPERLINK("http://ovidsp.ovid.com/ovidweb.cgi?T=JS&amp;NEWS=n&amp;CSC=Y&amp;PAGE=booktext&amp;D=books&amp;AN=01845104$&amp;XPATH=/PG(0)&amp;EPUB=Y","http://ovidsp.ovid.com/ovidweb.cgi?T=JS&amp;NEWS=n&amp;CSC=Y&amp;PAGE=booktext&amp;D=books&amp;AN=01845104$&amp;XPATH=/PG(0)&amp;EPUB=Y")</f>
        <v>http://ovidsp.ovid.com/ovidweb.cgi?T=JS&amp;NEWS=n&amp;CSC=Y&amp;PAGE=booktext&amp;D=books&amp;AN=01845104$&amp;XPATH=/PG(0)&amp;EPUB=Y</v>
      </c>
      <c r="H107" s="8" t="s">
        <v>1220</v>
      </c>
    </row>
    <row r="108" spans="1:8" x14ac:dyDescent="0.25">
      <c r="A108" s="4" t="s">
        <v>577</v>
      </c>
      <c r="B108" s="5">
        <v>44137</v>
      </c>
      <c r="C108" s="6" t="s">
        <v>1158</v>
      </c>
      <c r="D108" s="6" t="s">
        <v>1420</v>
      </c>
      <c r="E108" s="6" t="s">
        <v>1525</v>
      </c>
      <c r="F108" s="6" t="s">
        <v>1161</v>
      </c>
      <c r="G108" s="7" t="str">
        <f>HYPERLINK("http://ovidsp.ovid.com/ovidweb.cgi?T=JS&amp;NEWS=n&amp;CSC=Y&amp;PAGE=booktext&amp;D=books&amp;AN=01762486$&amp;XPATH=/PG(0)&amp;EPUB=Y","http://ovidsp.ovid.com/ovidweb.cgi?T=JS&amp;NEWS=n&amp;CSC=Y&amp;PAGE=booktext&amp;D=books&amp;AN=01762486$&amp;XPATH=/PG(0)&amp;EPUB=Y")</f>
        <v>http://ovidsp.ovid.com/ovidweb.cgi?T=JS&amp;NEWS=n&amp;CSC=Y&amp;PAGE=booktext&amp;D=books&amp;AN=01762486$&amp;XPATH=/PG(0)&amp;EPUB=Y</v>
      </c>
      <c r="H108" s="8" t="s">
        <v>1220</v>
      </c>
    </row>
    <row r="109" spans="1:8" x14ac:dyDescent="0.25">
      <c r="A109" s="4" t="s">
        <v>1093</v>
      </c>
      <c r="B109" s="5">
        <v>44137</v>
      </c>
      <c r="C109" s="6" t="s">
        <v>1037</v>
      </c>
      <c r="D109" s="6" t="s">
        <v>537</v>
      </c>
      <c r="E109" s="6" t="s">
        <v>1525</v>
      </c>
      <c r="F109" s="6" t="s">
        <v>171</v>
      </c>
      <c r="G109" s="7" t="str">
        <f>HYPERLINK("http://ovidsp.ovid.com/ovidweb.cgi?T=JS&amp;NEWS=n&amp;CSC=Y&amp;PAGE=booktext&amp;D=books&amp;AN=01960891$&amp;XPATH=/PG(0)&amp;EPUB=Y","http://ovidsp.ovid.com/ovidweb.cgi?T=JS&amp;NEWS=n&amp;CSC=Y&amp;PAGE=booktext&amp;D=books&amp;AN=01960891$&amp;XPATH=/PG(0)&amp;EPUB=Y")</f>
        <v>http://ovidsp.ovid.com/ovidweb.cgi?T=JS&amp;NEWS=n&amp;CSC=Y&amp;PAGE=booktext&amp;D=books&amp;AN=01960891$&amp;XPATH=/PG(0)&amp;EPUB=Y</v>
      </c>
      <c r="H109" s="8" t="s">
        <v>1314</v>
      </c>
    </row>
    <row r="110" spans="1:8" x14ac:dyDescent="0.25">
      <c r="A110" s="4" t="s">
        <v>1242</v>
      </c>
      <c r="B110" s="5">
        <v>44137</v>
      </c>
      <c r="C110" s="6" t="s">
        <v>1281</v>
      </c>
      <c r="D110" s="6" t="s">
        <v>582</v>
      </c>
      <c r="E110" s="6" t="s">
        <v>1525</v>
      </c>
      <c r="F110" s="6" t="s">
        <v>1254</v>
      </c>
      <c r="G110" s="7" t="str">
        <f>HYPERLINK("http://ovidsp.ovid.com/ovidweb.cgi?T=JS&amp;NEWS=n&amp;CSC=Y&amp;PAGE=booktext&amp;D=books&amp;AN=01762477$&amp;XPATH=/PG(0)&amp;EPUB=Y","http://ovidsp.ovid.com/ovidweb.cgi?T=JS&amp;NEWS=n&amp;CSC=Y&amp;PAGE=booktext&amp;D=books&amp;AN=01762477$&amp;XPATH=/PG(0)&amp;EPUB=Y")</f>
        <v>http://ovidsp.ovid.com/ovidweb.cgi?T=JS&amp;NEWS=n&amp;CSC=Y&amp;PAGE=booktext&amp;D=books&amp;AN=01762477$&amp;XPATH=/PG(0)&amp;EPUB=Y</v>
      </c>
      <c r="H110" s="8" t="s">
        <v>1220</v>
      </c>
    </row>
    <row r="111" spans="1:8" x14ac:dyDescent="0.25">
      <c r="A111" s="4" t="s">
        <v>1147</v>
      </c>
      <c r="B111" s="5">
        <v>44137</v>
      </c>
      <c r="C111" s="6" t="s">
        <v>1347</v>
      </c>
      <c r="D111" s="6" t="s">
        <v>120</v>
      </c>
      <c r="E111" s="6" t="s">
        <v>1525</v>
      </c>
      <c r="F111" s="6" t="s">
        <v>444</v>
      </c>
      <c r="G111" s="7" t="str">
        <f>HYPERLINK("http://ovidsp.ovid.com/ovidweb.cgi?T=JS&amp;NEWS=n&amp;CSC=Y&amp;PAGE=booktext&amp;D=books&amp;AN=01641753$&amp;XPATH=/PG(0)&amp;EPUB=Y","http://ovidsp.ovid.com/ovidweb.cgi?T=JS&amp;NEWS=n&amp;CSC=Y&amp;PAGE=booktext&amp;D=books&amp;AN=01641753$&amp;XPATH=/PG(0)&amp;EPUB=Y")</f>
        <v>http://ovidsp.ovid.com/ovidweb.cgi?T=JS&amp;NEWS=n&amp;CSC=Y&amp;PAGE=booktext&amp;D=books&amp;AN=01641753$&amp;XPATH=/PG(0)&amp;EPUB=Y</v>
      </c>
      <c r="H111" s="8" t="s">
        <v>1220</v>
      </c>
    </row>
    <row r="112" spans="1:8" x14ac:dyDescent="0.25">
      <c r="A112" s="4" t="s">
        <v>1401</v>
      </c>
      <c r="B112" s="5">
        <v>44137</v>
      </c>
      <c r="C112" s="6" t="s">
        <v>1495</v>
      </c>
      <c r="D112" s="6" t="s">
        <v>1526</v>
      </c>
      <c r="E112" s="6" t="s">
        <v>1525</v>
      </c>
      <c r="F112" s="6" t="s">
        <v>1161</v>
      </c>
      <c r="G112" s="7" t="str">
        <f>HYPERLINK("http://ovidsp.ovid.com/ovidweb.cgi?T=JS&amp;NEWS=n&amp;CSC=Y&amp;PAGE=booktext&amp;D=books&amp;AN=01996179$&amp;XPATH=/PG(0)&amp;EPUB=Y","http://ovidsp.ovid.com/ovidweb.cgi?T=JS&amp;NEWS=n&amp;CSC=Y&amp;PAGE=booktext&amp;D=books&amp;AN=01996179$&amp;XPATH=/PG(0)&amp;EPUB=Y")</f>
        <v>http://ovidsp.ovid.com/ovidweb.cgi?T=JS&amp;NEWS=n&amp;CSC=Y&amp;PAGE=booktext&amp;D=books&amp;AN=01996179$&amp;XPATH=/PG(0)&amp;EPUB=Y</v>
      </c>
      <c r="H112" s="8" t="s">
        <v>1314</v>
      </c>
    </row>
    <row r="113" spans="1:8" x14ac:dyDescent="0.25">
      <c r="A113" s="4" t="s">
        <v>624</v>
      </c>
      <c r="B113" s="5">
        <v>44137</v>
      </c>
      <c r="C113" s="6" t="s">
        <v>1496</v>
      </c>
      <c r="D113" s="6" t="s">
        <v>576</v>
      </c>
      <c r="E113" s="6" t="s">
        <v>1525</v>
      </c>
      <c r="F113" s="6" t="s">
        <v>1161</v>
      </c>
      <c r="G113" s="7" t="str">
        <f>HYPERLINK("http://ovidsp.ovid.com/ovidweb.cgi?T=JS&amp;NEWS=n&amp;CSC=Y&amp;PAGE=booktext&amp;D=books&amp;AN=01938977$&amp;XPATH=/PG(0)&amp;EPUB=Y","http://ovidsp.ovid.com/ovidweb.cgi?T=JS&amp;NEWS=n&amp;CSC=Y&amp;PAGE=booktext&amp;D=books&amp;AN=01938977$&amp;XPATH=/PG(0)&amp;EPUB=Y")</f>
        <v>http://ovidsp.ovid.com/ovidweb.cgi?T=JS&amp;NEWS=n&amp;CSC=Y&amp;PAGE=booktext&amp;D=books&amp;AN=01938977$&amp;XPATH=/PG(0)&amp;EPUB=Y</v>
      </c>
      <c r="H113" s="8" t="s">
        <v>1220</v>
      </c>
    </row>
    <row r="114" spans="1:8" x14ac:dyDescent="0.25">
      <c r="A114" s="4" t="s">
        <v>176</v>
      </c>
      <c r="B114" s="5">
        <v>44137</v>
      </c>
      <c r="C114" s="6" t="s">
        <v>879</v>
      </c>
      <c r="D114" s="6" t="s">
        <v>737</v>
      </c>
      <c r="E114" s="6" t="s">
        <v>1525</v>
      </c>
      <c r="F114" s="6" t="s">
        <v>845</v>
      </c>
      <c r="G114" s="7" t="str">
        <f>HYPERLINK("http://ovidsp.ovid.com/ovidweb.cgi?T=JS&amp;NEWS=n&amp;CSC=Y&amp;PAGE=booktext&amp;D=books&amp;AN=02070814$&amp;XPATH=/PG(0)&amp;EPUB=Y","http://ovidsp.ovid.com/ovidweb.cgi?T=JS&amp;NEWS=n&amp;CSC=Y&amp;PAGE=booktext&amp;D=books&amp;AN=02070814$&amp;XPATH=/PG(0)&amp;EPUB=Y")</f>
        <v>http://ovidsp.ovid.com/ovidweb.cgi?T=JS&amp;NEWS=n&amp;CSC=Y&amp;PAGE=booktext&amp;D=books&amp;AN=02070814$&amp;XPATH=/PG(0)&amp;EPUB=Y</v>
      </c>
      <c r="H114" s="8" t="s">
        <v>1220</v>
      </c>
    </row>
    <row r="115" spans="1:8" x14ac:dyDescent="0.25">
      <c r="A115" s="4" t="s">
        <v>1180</v>
      </c>
      <c r="B115" s="5">
        <v>44137</v>
      </c>
      <c r="C115" s="6" t="s">
        <v>698</v>
      </c>
      <c r="D115" s="6" t="s">
        <v>1510</v>
      </c>
      <c r="E115" s="6" t="s">
        <v>1525</v>
      </c>
      <c r="F115" s="6" t="s">
        <v>171</v>
      </c>
      <c r="G115" s="7" t="str">
        <f>HYPERLINK("http://ovidsp.ovid.com/ovidweb.cgi?T=JS&amp;NEWS=n&amp;CSC=Y&amp;PAGE=booktext&amp;D=books&amp;AN=02097260$&amp;XPATH=/PG(0)&amp;EPUB=Y","http://ovidsp.ovid.com/ovidweb.cgi?T=JS&amp;NEWS=n&amp;CSC=Y&amp;PAGE=booktext&amp;D=books&amp;AN=02097260$&amp;XPATH=/PG(0)&amp;EPUB=Y")</f>
        <v>http://ovidsp.ovid.com/ovidweb.cgi?T=JS&amp;NEWS=n&amp;CSC=Y&amp;PAGE=booktext&amp;D=books&amp;AN=02097260$&amp;XPATH=/PG(0)&amp;EPUB=Y</v>
      </c>
      <c r="H115" s="8" t="s">
        <v>1314</v>
      </c>
    </row>
    <row r="116" spans="1:8" x14ac:dyDescent="0.25">
      <c r="A116" s="4" t="s">
        <v>1413</v>
      </c>
      <c r="B116" s="5">
        <v>44137</v>
      </c>
      <c r="C116" s="6" t="s">
        <v>1395</v>
      </c>
      <c r="D116" s="6" t="s">
        <v>517</v>
      </c>
      <c r="E116" s="6" t="s">
        <v>1525</v>
      </c>
      <c r="F116" s="6" t="s">
        <v>845</v>
      </c>
      <c r="G116" s="7" t="str">
        <f>HYPERLINK("http://ovidsp.ovid.com/ovidweb.cgi?T=JS&amp;NEWS=n&amp;CSC=Y&amp;PAGE=booktext&amp;D=books&amp;AN=01817288$&amp;XPATH=/PG(0)&amp;EPUB=Y","http://ovidsp.ovid.com/ovidweb.cgi?T=JS&amp;NEWS=n&amp;CSC=Y&amp;PAGE=booktext&amp;D=books&amp;AN=01817288$&amp;XPATH=/PG(0)&amp;EPUB=Y")</f>
        <v>http://ovidsp.ovid.com/ovidweb.cgi?T=JS&amp;NEWS=n&amp;CSC=Y&amp;PAGE=booktext&amp;D=books&amp;AN=01817288$&amp;XPATH=/PG(0)&amp;EPUB=Y</v>
      </c>
      <c r="H116" s="8" t="s">
        <v>1314</v>
      </c>
    </row>
    <row r="117" spans="1:8" x14ac:dyDescent="0.25">
      <c r="A117" s="4" t="s">
        <v>1500</v>
      </c>
      <c r="B117" s="5">
        <v>44137</v>
      </c>
      <c r="C117" s="6" t="s">
        <v>654</v>
      </c>
      <c r="D117" s="6" t="s">
        <v>73</v>
      </c>
      <c r="E117" s="6" t="s">
        <v>1525</v>
      </c>
      <c r="F117" s="6" t="s">
        <v>1161</v>
      </c>
      <c r="G117" s="7" t="str">
        <f>HYPERLINK("http://ovidsp.ovid.com/ovidweb.cgi?T=JS&amp;NEWS=n&amp;CSC=Y&amp;PAGE=booktext&amp;D=books&amp;AN=01720564$&amp;XPATH=/PG(0)&amp;EPUB=Y","http://ovidsp.ovid.com/ovidweb.cgi?T=JS&amp;NEWS=n&amp;CSC=Y&amp;PAGE=booktext&amp;D=books&amp;AN=01720564$&amp;XPATH=/PG(0)&amp;EPUB=Y")</f>
        <v>http://ovidsp.ovid.com/ovidweb.cgi?T=JS&amp;NEWS=n&amp;CSC=Y&amp;PAGE=booktext&amp;D=books&amp;AN=01720564$&amp;XPATH=/PG(0)&amp;EPUB=Y</v>
      </c>
      <c r="H117" s="8" t="s">
        <v>1220</v>
      </c>
    </row>
    <row r="118" spans="1:8" x14ac:dyDescent="0.25">
      <c r="A118" s="4" t="s">
        <v>1156</v>
      </c>
      <c r="B118" s="5">
        <v>44137</v>
      </c>
      <c r="C118" s="6" t="s">
        <v>711</v>
      </c>
      <c r="D118" s="6" t="s">
        <v>733</v>
      </c>
      <c r="E118" s="6" t="s">
        <v>1525</v>
      </c>
      <c r="F118" s="6" t="s">
        <v>1277</v>
      </c>
      <c r="G118" s="7" t="str">
        <f>HYPERLINK("http://ovidsp.ovid.com/ovidweb.cgi?T=JS&amp;NEWS=n&amp;CSC=Y&amp;PAGE=booktext&amp;D=books&amp;AN=02070815$&amp;XPATH=/PG(0)&amp;EPUB=Y","http://ovidsp.ovid.com/ovidweb.cgi?T=JS&amp;NEWS=n&amp;CSC=Y&amp;PAGE=booktext&amp;D=books&amp;AN=02070815$&amp;XPATH=/PG(0)&amp;EPUB=Y")</f>
        <v>http://ovidsp.ovid.com/ovidweb.cgi?T=JS&amp;NEWS=n&amp;CSC=Y&amp;PAGE=booktext&amp;D=books&amp;AN=02070815$&amp;XPATH=/PG(0)&amp;EPUB=Y</v>
      </c>
      <c r="H118" s="8" t="s">
        <v>1220</v>
      </c>
    </row>
    <row r="119" spans="1:8" x14ac:dyDescent="0.25">
      <c r="A119" s="4" t="s">
        <v>1584</v>
      </c>
      <c r="B119" s="5">
        <v>44137</v>
      </c>
      <c r="C119" s="6" t="s">
        <v>681</v>
      </c>
      <c r="D119" s="6" t="s">
        <v>1195</v>
      </c>
      <c r="E119" s="6" t="s">
        <v>1525</v>
      </c>
      <c r="F119" s="6" t="s">
        <v>68</v>
      </c>
      <c r="G119" s="7" t="str">
        <f>HYPERLINK("http://ovidsp.ovid.com/ovidweb.cgi?T=JS&amp;NEWS=n&amp;CSC=Y&amp;PAGE=booktext&amp;D=books&amp;AN=01866994$&amp;XPATH=/PG(0)&amp;EPUB=Y","http://ovidsp.ovid.com/ovidweb.cgi?T=JS&amp;NEWS=n&amp;CSC=Y&amp;PAGE=booktext&amp;D=books&amp;AN=01866994$&amp;XPATH=/PG(0)&amp;EPUB=Y")</f>
        <v>http://ovidsp.ovid.com/ovidweb.cgi?T=JS&amp;NEWS=n&amp;CSC=Y&amp;PAGE=booktext&amp;D=books&amp;AN=01866994$&amp;XPATH=/PG(0)&amp;EPUB=Y</v>
      </c>
      <c r="H119" s="8" t="s">
        <v>1220</v>
      </c>
    </row>
    <row r="120" spans="1:8" x14ac:dyDescent="0.25">
      <c r="A120" s="4" t="s">
        <v>1484</v>
      </c>
      <c r="B120" s="5">
        <v>44137</v>
      </c>
      <c r="C120" s="6" t="s">
        <v>1608</v>
      </c>
      <c r="D120" s="6" t="s">
        <v>1049</v>
      </c>
      <c r="E120" s="6" t="s">
        <v>1525</v>
      </c>
      <c r="F120" s="6" t="s">
        <v>1582</v>
      </c>
      <c r="G120" s="7" t="str">
        <f>HYPERLINK("http://ovidsp.ovid.com/ovidweb.cgi?T=JS&amp;NEWS=n&amp;CSC=Y&amp;PAGE=booktext&amp;D=books&amp;AN=01929433$&amp;XPATH=/PG(0)&amp;EPUB=Y","http://ovidsp.ovid.com/ovidweb.cgi?T=JS&amp;NEWS=n&amp;CSC=Y&amp;PAGE=booktext&amp;D=books&amp;AN=01929433$&amp;XPATH=/PG(0)&amp;EPUB=Y")</f>
        <v>http://ovidsp.ovid.com/ovidweb.cgi?T=JS&amp;NEWS=n&amp;CSC=Y&amp;PAGE=booktext&amp;D=books&amp;AN=01929433$&amp;XPATH=/PG(0)&amp;EPUB=Y</v>
      </c>
      <c r="H120" s="8" t="s">
        <v>1220</v>
      </c>
    </row>
    <row r="121" spans="1:8" x14ac:dyDescent="0.25">
      <c r="A121" s="4" t="s">
        <v>345</v>
      </c>
      <c r="B121" s="5">
        <v>44137</v>
      </c>
      <c r="C121" s="6" t="s">
        <v>829</v>
      </c>
      <c r="D121" s="6" t="s">
        <v>328</v>
      </c>
      <c r="E121" s="6" t="s">
        <v>1525</v>
      </c>
      <c r="F121" s="6" t="s">
        <v>1277</v>
      </c>
      <c r="G121" s="7" t="str">
        <f>HYPERLINK("http://ovidsp.ovid.com/ovidweb.cgi?T=JS&amp;NEWS=n&amp;CSC=Y&amp;PAGE=booktext&amp;D=books&amp;AN=01906618$&amp;XPATH=/PG(0)&amp;EPUB=Y","http://ovidsp.ovid.com/ovidweb.cgi?T=JS&amp;NEWS=n&amp;CSC=Y&amp;PAGE=booktext&amp;D=books&amp;AN=01906618$&amp;XPATH=/PG(0)&amp;EPUB=Y")</f>
        <v>http://ovidsp.ovid.com/ovidweb.cgi?T=JS&amp;NEWS=n&amp;CSC=Y&amp;PAGE=booktext&amp;D=books&amp;AN=01906618$&amp;XPATH=/PG(0)&amp;EPUB=Y</v>
      </c>
      <c r="H121" s="8" t="s">
        <v>1314</v>
      </c>
    </row>
    <row r="122" spans="1:8" x14ac:dyDescent="0.25">
      <c r="A122" s="4" t="s">
        <v>754</v>
      </c>
      <c r="B122" s="5">
        <v>44137</v>
      </c>
      <c r="C122" s="6" t="s">
        <v>542</v>
      </c>
      <c r="D122" s="6" t="s">
        <v>920</v>
      </c>
      <c r="E122" s="6" t="s">
        <v>1525</v>
      </c>
      <c r="F122" s="6" t="s">
        <v>1277</v>
      </c>
      <c r="G122" s="7" t="str">
        <f>HYPERLINK("http://ovidsp.ovid.com/ovidweb.cgi?T=JS&amp;NEWS=n&amp;CSC=Y&amp;PAGE=booktext&amp;D=books&amp;AN=01437544$&amp;XPATH=/PG(0)&amp;EPUB=Y","http://ovidsp.ovid.com/ovidweb.cgi?T=JS&amp;NEWS=n&amp;CSC=Y&amp;PAGE=booktext&amp;D=books&amp;AN=01437544$&amp;XPATH=/PG(0)&amp;EPUB=Y")</f>
        <v>http://ovidsp.ovid.com/ovidweb.cgi?T=JS&amp;NEWS=n&amp;CSC=Y&amp;PAGE=booktext&amp;D=books&amp;AN=01437544$&amp;XPATH=/PG(0)&amp;EPUB=Y</v>
      </c>
      <c r="H122" s="8" t="s">
        <v>1220</v>
      </c>
    </row>
    <row r="123" spans="1:8" x14ac:dyDescent="0.25">
      <c r="A123" s="4" t="s">
        <v>1244</v>
      </c>
      <c r="B123" s="5">
        <v>44137</v>
      </c>
      <c r="C123" s="6" t="s">
        <v>77</v>
      </c>
      <c r="D123" s="6" t="s">
        <v>988</v>
      </c>
      <c r="E123" s="6" t="s">
        <v>1525</v>
      </c>
      <c r="F123" s="6" t="s">
        <v>444</v>
      </c>
      <c r="G123" s="7" t="str">
        <f>HYPERLINK("http://ovidsp.ovid.com/ovidweb.cgi?T=JS&amp;NEWS=n&amp;CSC=Y&amp;PAGE=booktext&amp;D=books&amp;AN=02070816$&amp;XPATH=/PG(0)&amp;EPUB=Y","http://ovidsp.ovid.com/ovidweb.cgi?T=JS&amp;NEWS=n&amp;CSC=Y&amp;PAGE=booktext&amp;D=books&amp;AN=02070816$&amp;XPATH=/PG(0)&amp;EPUB=Y")</f>
        <v>http://ovidsp.ovid.com/ovidweb.cgi?T=JS&amp;NEWS=n&amp;CSC=Y&amp;PAGE=booktext&amp;D=books&amp;AN=02070816$&amp;XPATH=/PG(0)&amp;EPUB=Y</v>
      </c>
      <c r="H123" s="8" t="s">
        <v>1314</v>
      </c>
    </row>
    <row r="124" spans="1:8" x14ac:dyDescent="0.25">
      <c r="A124" s="4" t="s">
        <v>1206</v>
      </c>
      <c r="B124" s="5">
        <v>44137</v>
      </c>
      <c r="C124" s="6" t="s">
        <v>907</v>
      </c>
      <c r="D124" s="6" t="s">
        <v>1014</v>
      </c>
      <c r="E124" s="6" t="s">
        <v>1525</v>
      </c>
      <c r="F124" s="6" t="s">
        <v>1277</v>
      </c>
      <c r="G124" s="7" t="str">
        <f>HYPERLINK("http://ovidsp.ovid.com/ovidweb.cgi?T=JS&amp;NEWS=n&amp;CSC=Y&amp;PAGE=booktext&amp;D=books&amp;AN=01884426$&amp;XPATH=/PG(0)&amp;EPUB=Y","http://ovidsp.ovid.com/ovidweb.cgi?T=JS&amp;NEWS=n&amp;CSC=Y&amp;PAGE=booktext&amp;D=books&amp;AN=01884426$&amp;XPATH=/PG(0)&amp;EPUB=Y")</f>
        <v>http://ovidsp.ovid.com/ovidweb.cgi?T=JS&amp;NEWS=n&amp;CSC=Y&amp;PAGE=booktext&amp;D=books&amp;AN=01884426$&amp;XPATH=/PG(0)&amp;EPUB=Y</v>
      </c>
      <c r="H124" s="8" t="s">
        <v>1314</v>
      </c>
    </row>
    <row r="125" spans="1:8" x14ac:dyDescent="0.25">
      <c r="A125" s="4" t="s">
        <v>1126</v>
      </c>
      <c r="B125" s="5">
        <v>44137</v>
      </c>
      <c r="C125" s="6" t="s">
        <v>1681</v>
      </c>
      <c r="D125" s="6" t="s">
        <v>1698</v>
      </c>
      <c r="E125" s="6" t="s">
        <v>1525</v>
      </c>
      <c r="F125" s="6" t="s">
        <v>1122</v>
      </c>
      <c r="G125" s="7" t="str">
        <f>HYPERLINK("http://ovidsp.ovid.com/ovidweb.cgi?T=JS&amp;NEWS=n&amp;CSC=Y&amp;PAGE=booktext&amp;D=books&amp;AN=02014370$&amp;XPATH=/PG(0)&amp;EPUB=Y","http://ovidsp.ovid.com/ovidweb.cgi?T=JS&amp;NEWS=n&amp;CSC=Y&amp;PAGE=booktext&amp;D=books&amp;AN=02014370$&amp;XPATH=/PG(0)&amp;EPUB=Y")</f>
        <v>http://ovidsp.ovid.com/ovidweb.cgi?T=JS&amp;NEWS=n&amp;CSC=Y&amp;PAGE=booktext&amp;D=books&amp;AN=02014370$&amp;XPATH=/PG(0)&amp;EPUB=Y</v>
      </c>
      <c r="H125" s="8" t="s">
        <v>1314</v>
      </c>
    </row>
    <row r="126" spans="1:8" x14ac:dyDescent="0.25">
      <c r="A126" s="4" t="s">
        <v>1331</v>
      </c>
      <c r="B126" s="5">
        <v>44137</v>
      </c>
      <c r="C126" s="6" t="s">
        <v>1731</v>
      </c>
      <c r="D126" s="6" t="s">
        <v>1483</v>
      </c>
      <c r="E126" s="6" t="s">
        <v>1525</v>
      </c>
      <c r="F126" s="6" t="s">
        <v>444</v>
      </c>
      <c r="G126" s="7" t="str">
        <f>HYPERLINK("http://ovidsp.ovid.com/ovidweb.cgi?T=JS&amp;NEWS=n&amp;CSC=Y&amp;PAGE=booktext&amp;D=books&amp;AN=01817274$&amp;XPATH=/PG(0)&amp;EPUB=Y","http://ovidsp.ovid.com/ovidweb.cgi?T=JS&amp;NEWS=n&amp;CSC=Y&amp;PAGE=booktext&amp;D=books&amp;AN=01817274$&amp;XPATH=/PG(0)&amp;EPUB=Y")</f>
        <v>http://ovidsp.ovid.com/ovidweb.cgi?T=JS&amp;NEWS=n&amp;CSC=Y&amp;PAGE=booktext&amp;D=books&amp;AN=01817274$&amp;XPATH=/PG(0)&amp;EPUB=Y</v>
      </c>
      <c r="H126" s="8" t="s">
        <v>1220</v>
      </c>
    </row>
    <row r="127" spans="1:8" x14ac:dyDescent="0.25">
      <c r="A127" s="4" t="s">
        <v>1058</v>
      </c>
      <c r="B127" s="5">
        <v>44137</v>
      </c>
      <c r="C127" s="6" t="s">
        <v>1732</v>
      </c>
      <c r="D127" s="6" t="s">
        <v>1050</v>
      </c>
      <c r="E127" s="6" t="s">
        <v>1525</v>
      </c>
      <c r="F127" s="6" t="s">
        <v>1161</v>
      </c>
      <c r="G127" s="7" t="str">
        <f>HYPERLINK("http://ovidsp.ovid.com/ovidweb.cgi?T=JS&amp;NEWS=n&amp;CSC=Y&amp;PAGE=booktext&amp;D=books&amp;AN=02158041$&amp;XPATH=/PG(0)&amp;EPUB=Y","http://ovidsp.ovid.com/ovidweb.cgi?T=JS&amp;NEWS=n&amp;CSC=Y&amp;PAGE=booktext&amp;D=books&amp;AN=02158041$&amp;XPATH=/PG(0)&amp;EPUB=Y")</f>
        <v>http://ovidsp.ovid.com/ovidweb.cgi?T=JS&amp;NEWS=n&amp;CSC=Y&amp;PAGE=booktext&amp;D=books&amp;AN=02158041$&amp;XPATH=/PG(0)&amp;EPUB=Y</v>
      </c>
      <c r="H127" s="8" t="s">
        <v>1220</v>
      </c>
    </row>
    <row r="128" spans="1:8" x14ac:dyDescent="0.25">
      <c r="A128" s="4" t="s">
        <v>339</v>
      </c>
      <c r="B128" s="5">
        <v>44137</v>
      </c>
      <c r="C128" s="6" t="s">
        <v>117</v>
      </c>
      <c r="D128" s="6" t="s">
        <v>1532</v>
      </c>
      <c r="E128" s="6" t="s">
        <v>1525</v>
      </c>
      <c r="F128" s="6" t="s">
        <v>1582</v>
      </c>
      <c r="G128" s="7" t="str">
        <f>HYPERLINK("http://ovidsp.ovid.com/ovidweb.cgi?T=JS&amp;NEWS=n&amp;CSC=Y&amp;PAGE=booktext&amp;D=books&amp;AN=02050001$&amp;XPATH=/PG(0)&amp;EPUB=Y","http://ovidsp.ovid.com/ovidweb.cgi?T=JS&amp;NEWS=n&amp;CSC=Y&amp;PAGE=booktext&amp;D=books&amp;AN=02050001$&amp;XPATH=/PG(0)&amp;EPUB=Y")</f>
        <v>http://ovidsp.ovid.com/ovidweb.cgi?T=JS&amp;NEWS=n&amp;CSC=Y&amp;PAGE=booktext&amp;D=books&amp;AN=02050001$&amp;XPATH=/PG(0)&amp;EPUB=Y</v>
      </c>
      <c r="H128" s="8" t="s">
        <v>1220</v>
      </c>
    </row>
    <row r="129" spans="1:8" x14ac:dyDescent="0.25">
      <c r="A129" s="4" t="s">
        <v>1070</v>
      </c>
      <c r="B129" s="5">
        <v>44137</v>
      </c>
      <c r="C129" s="6" t="s">
        <v>418</v>
      </c>
      <c r="D129" s="6" t="s">
        <v>366</v>
      </c>
      <c r="E129" s="6" t="s">
        <v>1525</v>
      </c>
      <c r="F129" s="6" t="s">
        <v>845</v>
      </c>
      <c r="G129" s="7" t="str">
        <f>HYPERLINK("http://ovidsp.ovid.com/ovidweb.cgi?T=JS&amp;NEWS=n&amp;CSC=Y&amp;PAGE=booktext&amp;D=books&amp;AN=01906619$&amp;XPATH=/PG(0)&amp;EPUB=Y","http://ovidsp.ovid.com/ovidweb.cgi?T=JS&amp;NEWS=n&amp;CSC=Y&amp;PAGE=booktext&amp;D=books&amp;AN=01906619$&amp;XPATH=/PG(0)&amp;EPUB=Y")</f>
        <v>http://ovidsp.ovid.com/ovidweb.cgi?T=JS&amp;NEWS=n&amp;CSC=Y&amp;PAGE=booktext&amp;D=books&amp;AN=01906619$&amp;XPATH=/PG(0)&amp;EPUB=Y</v>
      </c>
      <c r="H129" s="8" t="s">
        <v>1314</v>
      </c>
    </row>
    <row r="130" spans="1:8" x14ac:dyDescent="0.25">
      <c r="A130" s="4" t="s">
        <v>183</v>
      </c>
      <c r="B130" s="5">
        <v>44137</v>
      </c>
      <c r="C130" s="6" t="s">
        <v>1514</v>
      </c>
      <c r="D130" s="6" t="s">
        <v>1207</v>
      </c>
      <c r="E130" s="6" t="s">
        <v>1525</v>
      </c>
      <c r="F130" s="6" t="s">
        <v>845</v>
      </c>
      <c r="G130" s="7" t="str">
        <f>HYPERLINK("http://ovidsp.ovid.com/ovidweb.cgi?T=JS&amp;NEWS=n&amp;CSC=Y&amp;PAGE=booktext&amp;D=books&amp;AN=02070865$&amp;XPATH=/PG(0)&amp;EPUB=Y","http://ovidsp.ovid.com/ovidweb.cgi?T=JS&amp;NEWS=n&amp;CSC=Y&amp;PAGE=booktext&amp;D=books&amp;AN=02070865$&amp;XPATH=/PG(0)&amp;EPUB=Y")</f>
        <v>http://ovidsp.ovid.com/ovidweb.cgi?T=JS&amp;NEWS=n&amp;CSC=Y&amp;PAGE=booktext&amp;D=books&amp;AN=02070865$&amp;XPATH=/PG(0)&amp;EPUB=Y</v>
      </c>
      <c r="H130" s="8" t="s">
        <v>1314</v>
      </c>
    </row>
    <row r="131" spans="1:8" x14ac:dyDescent="0.25">
      <c r="A131" s="4" t="s">
        <v>42</v>
      </c>
      <c r="B131" s="5">
        <v>44137</v>
      </c>
      <c r="C131" s="6" t="s">
        <v>141</v>
      </c>
      <c r="D131" s="6" t="s">
        <v>1203</v>
      </c>
      <c r="E131" s="6" t="s">
        <v>1525</v>
      </c>
      <c r="F131" s="6" t="s">
        <v>845</v>
      </c>
      <c r="G131" s="7" t="str">
        <f>HYPERLINK("http://ovidsp.ovid.com/ovidweb.cgi?T=JS&amp;NEWS=n&amp;CSC=Y&amp;PAGE=booktext&amp;D=books&amp;AN=02118609$&amp;XPATH=/PG(0)&amp;EPUB=Y","http://ovidsp.ovid.com/ovidweb.cgi?T=JS&amp;NEWS=n&amp;CSC=Y&amp;PAGE=booktext&amp;D=books&amp;AN=02118609$&amp;XPATH=/PG(0)&amp;EPUB=Y")</f>
        <v>http://ovidsp.ovid.com/ovidweb.cgi?T=JS&amp;NEWS=n&amp;CSC=Y&amp;PAGE=booktext&amp;D=books&amp;AN=02118609$&amp;XPATH=/PG(0)&amp;EPUB=Y</v>
      </c>
      <c r="H131" s="8" t="s">
        <v>1220</v>
      </c>
    </row>
    <row r="132" spans="1:8" x14ac:dyDescent="0.25">
      <c r="A132" s="4" t="s">
        <v>1068</v>
      </c>
      <c r="B132" s="5">
        <v>44137</v>
      </c>
      <c r="C132" s="6" t="s">
        <v>1169</v>
      </c>
      <c r="D132" s="6" t="s">
        <v>1594</v>
      </c>
      <c r="E132" s="6" t="s">
        <v>1525</v>
      </c>
      <c r="F132" s="6" t="s">
        <v>171</v>
      </c>
      <c r="G132" s="7" t="str">
        <f>HYPERLINK("http://ovidsp.ovid.com/ovidweb.cgi?T=JS&amp;NEWS=n&amp;CSC=Y&amp;PAGE=booktext&amp;D=books&amp;AN=01929435$&amp;XPATH=/PG(0)&amp;EPUB=Y","http://ovidsp.ovid.com/ovidweb.cgi?T=JS&amp;NEWS=n&amp;CSC=Y&amp;PAGE=booktext&amp;D=books&amp;AN=01929435$&amp;XPATH=/PG(0)&amp;EPUB=Y")</f>
        <v>http://ovidsp.ovid.com/ovidweb.cgi?T=JS&amp;NEWS=n&amp;CSC=Y&amp;PAGE=booktext&amp;D=books&amp;AN=01929435$&amp;XPATH=/PG(0)&amp;EPUB=Y</v>
      </c>
      <c r="H132" s="8" t="s">
        <v>1220</v>
      </c>
    </row>
    <row r="133" spans="1:8" x14ac:dyDescent="0.25">
      <c r="A133" s="4" t="s">
        <v>601</v>
      </c>
      <c r="B133" s="5">
        <v>44137</v>
      </c>
      <c r="C133" s="6" t="s">
        <v>1746</v>
      </c>
      <c r="D133" s="6" t="s">
        <v>1556</v>
      </c>
      <c r="E133" s="6" t="s">
        <v>1525</v>
      </c>
      <c r="F133" s="6" t="s">
        <v>845</v>
      </c>
      <c r="G133" s="7" t="str">
        <f>HYPERLINK("http://ovidsp.ovid.com/ovidweb.cgi?T=JS&amp;NEWS=n&amp;CSC=Y&amp;PAGE=booktext&amp;D=books&amp;AN=02118613$&amp;XPATH=/PG(0)&amp;EPUB=Y","http://ovidsp.ovid.com/ovidweb.cgi?T=JS&amp;NEWS=n&amp;CSC=Y&amp;PAGE=booktext&amp;D=books&amp;AN=02118613$&amp;XPATH=/PG(0)&amp;EPUB=Y")</f>
        <v>http://ovidsp.ovid.com/ovidweb.cgi?T=JS&amp;NEWS=n&amp;CSC=Y&amp;PAGE=booktext&amp;D=books&amp;AN=02118613$&amp;XPATH=/PG(0)&amp;EPUB=Y</v>
      </c>
      <c r="H133" s="8" t="s">
        <v>1220</v>
      </c>
    </row>
    <row r="134" spans="1:8" x14ac:dyDescent="0.25">
      <c r="A134" s="4" t="s">
        <v>1209</v>
      </c>
      <c r="B134" s="5">
        <v>44137</v>
      </c>
      <c r="C134" s="6" t="s">
        <v>766</v>
      </c>
      <c r="D134" s="6" t="s">
        <v>643</v>
      </c>
      <c r="E134" s="6" t="s">
        <v>1525</v>
      </c>
      <c r="F134" s="6" t="s">
        <v>171</v>
      </c>
      <c r="G134" s="7" t="str">
        <f>HYPERLINK("http://ovidsp.ovid.com/ovidweb.cgi?T=JS&amp;NEWS=n&amp;CSC=Y&amp;PAGE=booktext&amp;D=books&amp;AN=01906600$&amp;XPATH=/PG(0)&amp;EPUB=Y","http://ovidsp.ovid.com/ovidweb.cgi?T=JS&amp;NEWS=n&amp;CSC=Y&amp;PAGE=booktext&amp;D=books&amp;AN=01906600$&amp;XPATH=/PG(0)&amp;EPUB=Y")</f>
        <v>http://ovidsp.ovid.com/ovidweb.cgi?T=JS&amp;NEWS=n&amp;CSC=Y&amp;PAGE=booktext&amp;D=books&amp;AN=01906600$&amp;XPATH=/PG(0)&amp;EPUB=Y</v>
      </c>
      <c r="H134" s="8" t="s">
        <v>1220</v>
      </c>
    </row>
    <row r="135" spans="1:8" x14ac:dyDescent="0.25">
      <c r="A135" s="4" t="s">
        <v>462</v>
      </c>
      <c r="B135" s="5">
        <v>44137</v>
      </c>
      <c r="C135" s="6" t="s">
        <v>943</v>
      </c>
      <c r="D135" s="6" t="s">
        <v>1474</v>
      </c>
      <c r="E135" s="6" t="s">
        <v>1525</v>
      </c>
      <c r="F135" s="6" t="s">
        <v>845</v>
      </c>
      <c r="G135" s="7" t="str">
        <f>HYPERLINK("http://ovidsp.ovid.com/ovidweb.cgi?T=JS&amp;NEWS=n&amp;CSC=Y&amp;PAGE=booktext&amp;D=books&amp;AN=02070866$&amp;XPATH=/PG(0)&amp;EPUB=Y","http://ovidsp.ovid.com/ovidweb.cgi?T=JS&amp;NEWS=n&amp;CSC=Y&amp;PAGE=booktext&amp;D=books&amp;AN=02070866$&amp;XPATH=/PG(0)&amp;EPUB=Y")</f>
        <v>http://ovidsp.ovid.com/ovidweb.cgi?T=JS&amp;NEWS=n&amp;CSC=Y&amp;PAGE=booktext&amp;D=books&amp;AN=02070866$&amp;XPATH=/PG(0)&amp;EPUB=Y</v>
      </c>
      <c r="H135" s="8" t="s">
        <v>1314</v>
      </c>
    </row>
    <row r="136" spans="1:8" x14ac:dyDescent="0.25">
      <c r="A136" s="4" t="s">
        <v>903</v>
      </c>
      <c r="B136" s="5">
        <v>44137</v>
      </c>
      <c r="C136" s="6" t="s">
        <v>83</v>
      </c>
      <c r="D136" s="6" t="s">
        <v>1196</v>
      </c>
      <c r="E136" s="6" t="s">
        <v>1525</v>
      </c>
      <c r="F136" s="6" t="s">
        <v>171</v>
      </c>
      <c r="G136" s="7" t="str">
        <f>HYPERLINK("http://ovidsp.ovid.com/ovidweb.cgi?T=JS&amp;NEWS=n&amp;CSC=Y&amp;PAGE=booktext&amp;D=books&amp;AN=01906599$&amp;XPATH=/PG(0)&amp;EPUB=Y","http://ovidsp.ovid.com/ovidweb.cgi?T=JS&amp;NEWS=n&amp;CSC=Y&amp;PAGE=booktext&amp;D=books&amp;AN=01906599$&amp;XPATH=/PG(0)&amp;EPUB=Y")</f>
        <v>http://ovidsp.ovid.com/ovidweb.cgi?T=JS&amp;NEWS=n&amp;CSC=Y&amp;PAGE=booktext&amp;D=books&amp;AN=01906599$&amp;XPATH=/PG(0)&amp;EPUB=Y</v>
      </c>
      <c r="H136" s="8" t="s">
        <v>1220</v>
      </c>
    </row>
    <row r="137" spans="1:8" x14ac:dyDescent="0.25">
      <c r="A137" s="4" t="s">
        <v>147</v>
      </c>
      <c r="B137" s="5">
        <v>44137</v>
      </c>
      <c r="C137" s="6" t="s">
        <v>385</v>
      </c>
      <c r="D137" s="6" t="s">
        <v>1694</v>
      </c>
      <c r="E137" s="6" t="s">
        <v>1525</v>
      </c>
      <c r="F137" s="6" t="s">
        <v>845</v>
      </c>
      <c r="G137" s="7" t="str">
        <f>HYPERLINK("http://ovidsp.ovid.com/ovidweb.cgi?T=JS&amp;NEWS=n&amp;CSC=Y&amp;PAGE=booktext&amp;D=books&amp;AN=01817290$&amp;XPATH=/PG(0)&amp;EPUB=Y","http://ovidsp.ovid.com/ovidweb.cgi?T=JS&amp;NEWS=n&amp;CSC=Y&amp;PAGE=booktext&amp;D=books&amp;AN=01817290$&amp;XPATH=/PG(0)&amp;EPUB=Y")</f>
        <v>http://ovidsp.ovid.com/ovidweb.cgi?T=JS&amp;NEWS=n&amp;CSC=Y&amp;PAGE=booktext&amp;D=books&amp;AN=01817290$&amp;XPATH=/PG(0)&amp;EPUB=Y</v>
      </c>
      <c r="H137" s="8" t="s">
        <v>1220</v>
      </c>
    </row>
    <row r="138" spans="1:8" x14ac:dyDescent="0.25">
      <c r="A138" s="4" t="s">
        <v>1327</v>
      </c>
      <c r="B138" s="5">
        <v>44137</v>
      </c>
      <c r="C138" s="6" t="s">
        <v>1392</v>
      </c>
      <c r="D138" s="6" t="s">
        <v>628</v>
      </c>
      <c r="E138" s="6" t="s">
        <v>1525</v>
      </c>
      <c r="F138" s="6" t="s">
        <v>845</v>
      </c>
      <c r="G138" s="7" t="str">
        <f>HYPERLINK("http://ovidsp.ovid.com/ovidweb.cgi?T=JS&amp;NEWS=n&amp;CSC=Y&amp;PAGE=booktext&amp;D=books&amp;AN=01817291$&amp;XPATH=/PG(0)&amp;EPUB=Y","http://ovidsp.ovid.com/ovidweb.cgi?T=JS&amp;NEWS=n&amp;CSC=Y&amp;PAGE=booktext&amp;D=books&amp;AN=01817291$&amp;XPATH=/PG(0)&amp;EPUB=Y")</f>
        <v>http://ovidsp.ovid.com/ovidweb.cgi?T=JS&amp;NEWS=n&amp;CSC=Y&amp;PAGE=booktext&amp;D=books&amp;AN=01817291$&amp;XPATH=/PG(0)&amp;EPUB=Y</v>
      </c>
      <c r="H138" s="8" t="s">
        <v>1220</v>
      </c>
    </row>
    <row r="139" spans="1:8" x14ac:dyDescent="0.25">
      <c r="A139" s="4" t="s">
        <v>622</v>
      </c>
      <c r="B139" s="5">
        <v>44137</v>
      </c>
      <c r="C139" s="6" t="s">
        <v>1255</v>
      </c>
      <c r="D139" s="6" t="s">
        <v>888</v>
      </c>
      <c r="E139" s="6" t="s">
        <v>1525</v>
      </c>
      <c r="F139" s="6" t="s">
        <v>1277</v>
      </c>
      <c r="G139" s="7" t="str">
        <f>HYPERLINK("http://ovidsp.ovid.com/ovidweb.cgi?T=JS&amp;NEWS=n&amp;CSC=Y&amp;PAGE=booktext&amp;D=books&amp;AN=01884415$&amp;XPATH=/PG(0)&amp;EPUB=Y","http://ovidsp.ovid.com/ovidweb.cgi?T=JS&amp;NEWS=n&amp;CSC=Y&amp;PAGE=booktext&amp;D=books&amp;AN=01884415$&amp;XPATH=/PG(0)&amp;EPUB=Y")</f>
        <v>http://ovidsp.ovid.com/ovidweb.cgi?T=JS&amp;NEWS=n&amp;CSC=Y&amp;PAGE=booktext&amp;D=books&amp;AN=01884415$&amp;XPATH=/PG(0)&amp;EPUB=Y</v>
      </c>
      <c r="H139" s="8" t="s">
        <v>1220</v>
      </c>
    </row>
    <row r="140" spans="1:8" x14ac:dyDescent="0.25">
      <c r="A140" s="4" t="s">
        <v>1442</v>
      </c>
      <c r="B140" s="5">
        <v>44137</v>
      </c>
      <c r="C140" s="6" t="s">
        <v>1017</v>
      </c>
      <c r="D140" s="6" t="s">
        <v>126</v>
      </c>
      <c r="E140" s="6" t="s">
        <v>1525</v>
      </c>
      <c r="F140" s="6" t="s">
        <v>1122</v>
      </c>
      <c r="G140" s="7" t="str">
        <f>HYPERLINK("http://ovidsp.ovid.com/ovidweb.cgi?T=JS&amp;NEWS=n&amp;CSC=Y&amp;PAGE=booktext&amp;D=books&amp;AN=02050000$&amp;XPATH=/PG(0)&amp;EPUB=Y","http://ovidsp.ovid.com/ovidweb.cgi?T=JS&amp;NEWS=n&amp;CSC=Y&amp;PAGE=booktext&amp;D=books&amp;AN=02050000$&amp;XPATH=/PG(0)&amp;EPUB=Y")</f>
        <v>http://ovidsp.ovid.com/ovidweb.cgi?T=JS&amp;NEWS=n&amp;CSC=Y&amp;PAGE=booktext&amp;D=books&amp;AN=02050000$&amp;XPATH=/PG(0)&amp;EPUB=Y</v>
      </c>
      <c r="H140" s="8" t="s">
        <v>1220</v>
      </c>
    </row>
    <row r="141" spans="1:8" x14ac:dyDescent="0.25">
      <c r="A141" s="4" t="s">
        <v>1170</v>
      </c>
      <c r="B141" s="5">
        <v>44137</v>
      </c>
      <c r="C141" s="6" t="s">
        <v>1146</v>
      </c>
      <c r="D141" s="6" t="s">
        <v>350</v>
      </c>
      <c r="E141" s="6" t="s">
        <v>1525</v>
      </c>
      <c r="F141" s="6" t="s">
        <v>171</v>
      </c>
      <c r="G141" s="7" t="str">
        <f>HYPERLINK("http://ovidsp.ovid.com/ovidweb.cgi?T=JS&amp;NEWS=n&amp;CSC=Y&amp;PAGE=booktext&amp;D=books&amp;AN=01745948$&amp;XPATH=/PG(0)&amp;EPUB=Y","http://ovidsp.ovid.com/ovidweb.cgi?T=JS&amp;NEWS=n&amp;CSC=Y&amp;PAGE=booktext&amp;D=books&amp;AN=01745948$&amp;XPATH=/PG(0)&amp;EPUB=Y")</f>
        <v>http://ovidsp.ovid.com/ovidweb.cgi?T=JS&amp;NEWS=n&amp;CSC=Y&amp;PAGE=booktext&amp;D=books&amp;AN=01745948$&amp;XPATH=/PG(0)&amp;EPUB=Y</v>
      </c>
      <c r="H141" s="8" t="s">
        <v>1220</v>
      </c>
    </row>
    <row r="142" spans="1:8" x14ac:dyDescent="0.25">
      <c r="A142" s="4" t="s">
        <v>131</v>
      </c>
      <c r="B142" s="5">
        <v>44137</v>
      </c>
      <c r="C142" s="6" t="s">
        <v>962</v>
      </c>
      <c r="D142" s="6" t="s">
        <v>1100</v>
      </c>
      <c r="E142" s="6" t="s">
        <v>1525</v>
      </c>
      <c r="F142" s="6" t="s">
        <v>1277</v>
      </c>
      <c r="G142" s="7" t="str">
        <f>HYPERLINK("http://ovidsp.ovid.com/ovidweb.cgi?T=JS&amp;NEWS=n&amp;CSC=Y&amp;PAGE=booktext&amp;D=books&amp;AN=01960885$&amp;XPATH=/PG(0)&amp;EPUB=Y","http://ovidsp.ovid.com/ovidweb.cgi?T=JS&amp;NEWS=n&amp;CSC=Y&amp;PAGE=booktext&amp;D=books&amp;AN=01960885$&amp;XPATH=/PG(0)&amp;EPUB=Y")</f>
        <v>http://ovidsp.ovid.com/ovidweb.cgi?T=JS&amp;NEWS=n&amp;CSC=Y&amp;PAGE=booktext&amp;D=books&amp;AN=01960885$&amp;XPATH=/PG(0)&amp;EPUB=Y</v>
      </c>
      <c r="H142" s="8" t="s">
        <v>1220</v>
      </c>
    </row>
    <row r="143" spans="1:8" x14ac:dyDescent="0.25">
      <c r="A143" s="4" t="s">
        <v>609</v>
      </c>
      <c r="B143" s="5">
        <v>44137</v>
      </c>
      <c r="C143" s="6" t="s">
        <v>721</v>
      </c>
      <c r="D143" s="6" t="s">
        <v>1321</v>
      </c>
      <c r="E143" s="6" t="s">
        <v>1525</v>
      </c>
      <c r="F143" s="6" t="s">
        <v>845</v>
      </c>
      <c r="G143" s="7" t="str">
        <f>HYPERLINK("http://ovidsp.ovid.com/ovidweb.cgi?T=JS&amp;NEWS=n&amp;CSC=Y&amp;PAGE=booktext&amp;D=books&amp;AN=01938979$&amp;XPATH=/PG(0)&amp;EPUB=Y","http://ovidsp.ovid.com/ovidweb.cgi?T=JS&amp;NEWS=n&amp;CSC=Y&amp;PAGE=booktext&amp;D=books&amp;AN=01938979$&amp;XPATH=/PG(0)&amp;EPUB=Y")</f>
        <v>http://ovidsp.ovid.com/ovidweb.cgi?T=JS&amp;NEWS=n&amp;CSC=Y&amp;PAGE=booktext&amp;D=books&amp;AN=01938979$&amp;XPATH=/PG(0)&amp;EPUB=Y</v>
      </c>
      <c r="H143" s="8" t="s">
        <v>1314</v>
      </c>
    </row>
    <row r="144" spans="1:8" x14ac:dyDescent="0.25">
      <c r="A144" s="4" t="s">
        <v>1606</v>
      </c>
      <c r="B144" s="5">
        <v>44137</v>
      </c>
      <c r="C144" s="6" t="s">
        <v>1598</v>
      </c>
      <c r="D144" s="6" t="s">
        <v>487</v>
      </c>
      <c r="E144" s="6" t="s">
        <v>1525</v>
      </c>
      <c r="F144" s="6" t="s">
        <v>618</v>
      </c>
      <c r="G144" s="7" t="str">
        <f>HYPERLINK("http://ovidsp.ovid.com/ovidweb.cgi?T=JS&amp;NEWS=n&amp;CSC=Y&amp;PAGE=booktext&amp;D=books&amp;AN=02070869$&amp;XPATH=/PG(0)&amp;EPUB=Y","http://ovidsp.ovid.com/ovidweb.cgi?T=JS&amp;NEWS=n&amp;CSC=Y&amp;PAGE=booktext&amp;D=books&amp;AN=02070869$&amp;XPATH=/PG(0)&amp;EPUB=Y")</f>
        <v>http://ovidsp.ovid.com/ovidweb.cgi?T=JS&amp;NEWS=n&amp;CSC=Y&amp;PAGE=booktext&amp;D=books&amp;AN=02070869$&amp;XPATH=/PG(0)&amp;EPUB=Y</v>
      </c>
      <c r="H144" s="8" t="s">
        <v>1220</v>
      </c>
    </row>
    <row r="145" spans="1:8" x14ac:dyDescent="0.25">
      <c r="A145" s="4" t="s">
        <v>1225</v>
      </c>
      <c r="B145" s="5">
        <v>44137</v>
      </c>
      <c r="C145" s="6" t="s">
        <v>1110</v>
      </c>
      <c r="D145" s="6" t="s">
        <v>769</v>
      </c>
      <c r="E145" s="6" t="s">
        <v>1525</v>
      </c>
      <c r="F145" s="6" t="s">
        <v>845</v>
      </c>
      <c r="G145" s="7" t="str">
        <f>HYPERLINK("http://ovidsp.ovid.com/ovidweb.cgi?T=JS&amp;NEWS=n&amp;CSC=Y&amp;PAGE=booktext&amp;D=books&amp;AN=01906626$&amp;XPATH=/PG(0)&amp;EPUB=Y","http://ovidsp.ovid.com/ovidweb.cgi?T=JS&amp;NEWS=n&amp;CSC=Y&amp;PAGE=booktext&amp;D=books&amp;AN=01906626$&amp;XPATH=/PG(0)&amp;EPUB=Y")</f>
        <v>http://ovidsp.ovid.com/ovidweb.cgi?T=JS&amp;NEWS=n&amp;CSC=Y&amp;PAGE=booktext&amp;D=books&amp;AN=01906626$&amp;XPATH=/PG(0)&amp;EPUB=Y</v>
      </c>
      <c r="H145" s="8" t="s">
        <v>1314</v>
      </c>
    </row>
    <row r="146" spans="1:8" x14ac:dyDescent="0.25">
      <c r="A146" s="4" t="s">
        <v>1632</v>
      </c>
      <c r="B146" s="5">
        <v>44137</v>
      </c>
      <c r="C146" s="6" t="s">
        <v>771</v>
      </c>
      <c r="D146" s="6" t="s">
        <v>260</v>
      </c>
      <c r="E146" s="6" t="s">
        <v>1525</v>
      </c>
      <c r="F146" s="6" t="s">
        <v>1161</v>
      </c>
      <c r="G146" s="7" t="str">
        <f>HYPERLINK("http://ovidsp.ovid.com/ovidweb.cgi?T=JS&amp;NEWS=n&amp;CSC=Y&amp;PAGE=booktext&amp;D=books&amp;AN=02127188$&amp;XPATH=/PG(0)&amp;EPUB=Y","http://ovidsp.ovid.com/ovidweb.cgi?T=JS&amp;NEWS=n&amp;CSC=Y&amp;PAGE=booktext&amp;D=books&amp;AN=02127188$&amp;XPATH=/PG(0)&amp;EPUB=Y")</f>
        <v>http://ovidsp.ovid.com/ovidweb.cgi?T=JS&amp;NEWS=n&amp;CSC=Y&amp;PAGE=booktext&amp;D=books&amp;AN=02127188$&amp;XPATH=/PG(0)&amp;EPUB=Y</v>
      </c>
      <c r="H146" s="8" t="s">
        <v>1314</v>
      </c>
    </row>
    <row r="147" spans="1:8" x14ac:dyDescent="0.25">
      <c r="A147" s="4" t="s">
        <v>1648</v>
      </c>
      <c r="B147" s="5">
        <v>44137</v>
      </c>
      <c r="C147" s="6" t="s">
        <v>368</v>
      </c>
      <c r="D147" s="6" t="s">
        <v>1160</v>
      </c>
      <c r="E147" s="6" t="s">
        <v>1525</v>
      </c>
      <c r="F147" s="6" t="s">
        <v>171</v>
      </c>
      <c r="G147" s="7" t="str">
        <f>HYPERLINK("http://ovidsp.ovid.com/ovidweb.cgi?T=JS&amp;NEWS=n&amp;CSC=Y&amp;PAGE=booktext&amp;D=books&amp;AN=01745930$&amp;XPATH=/PG(0)&amp;EPUB=Y","http://ovidsp.ovid.com/ovidweb.cgi?T=JS&amp;NEWS=n&amp;CSC=Y&amp;PAGE=booktext&amp;D=books&amp;AN=01745930$&amp;XPATH=/PG(0)&amp;EPUB=Y")</f>
        <v>http://ovidsp.ovid.com/ovidweb.cgi?T=JS&amp;NEWS=n&amp;CSC=Y&amp;PAGE=booktext&amp;D=books&amp;AN=01745930$&amp;XPATH=/PG(0)&amp;EPUB=Y</v>
      </c>
      <c r="H147" s="8" t="s">
        <v>1220</v>
      </c>
    </row>
    <row r="148" spans="1:8" x14ac:dyDescent="0.25">
      <c r="A148" s="4" t="s">
        <v>146</v>
      </c>
      <c r="B148" s="5">
        <v>44137</v>
      </c>
      <c r="C148" s="6" t="s">
        <v>1647</v>
      </c>
      <c r="D148" s="6" t="s">
        <v>407</v>
      </c>
      <c r="E148" s="6" t="s">
        <v>1525</v>
      </c>
      <c r="F148" s="6" t="s">
        <v>444</v>
      </c>
      <c r="G148" s="7" t="str">
        <f>HYPERLINK("http://ovidsp.ovid.com/ovidweb.cgi?T=JS&amp;NEWS=n&amp;CSC=Y&amp;PAGE=booktext&amp;D=books&amp;AN=02070818$&amp;XPATH=/PG(0)&amp;EPUB=Y","http://ovidsp.ovid.com/ovidweb.cgi?T=JS&amp;NEWS=n&amp;CSC=Y&amp;PAGE=booktext&amp;D=books&amp;AN=02070818$&amp;XPATH=/PG(0)&amp;EPUB=Y")</f>
        <v>http://ovidsp.ovid.com/ovidweb.cgi?T=JS&amp;NEWS=n&amp;CSC=Y&amp;PAGE=booktext&amp;D=books&amp;AN=02070818$&amp;XPATH=/PG(0)&amp;EPUB=Y</v>
      </c>
      <c r="H148" s="8" t="s">
        <v>1314</v>
      </c>
    </row>
    <row r="149" spans="1:8" x14ac:dyDescent="0.25">
      <c r="A149" s="4" t="s">
        <v>321</v>
      </c>
      <c r="B149" s="5">
        <v>44137</v>
      </c>
      <c r="C149" s="6" t="s">
        <v>74</v>
      </c>
      <c r="D149" s="6" t="s">
        <v>255</v>
      </c>
      <c r="E149" s="6" t="s">
        <v>1525</v>
      </c>
      <c r="F149" s="6" t="s">
        <v>618</v>
      </c>
      <c r="G149" s="7" t="str">
        <f>HYPERLINK("http://ovidsp.ovid.com/ovidweb.cgi?T=JS&amp;NEWS=n&amp;CSC=Y&amp;PAGE=booktext&amp;D=books&amp;AN=01787256$&amp;XPATH=/PG(0)&amp;EPUB=Y","http://ovidsp.ovid.com/ovidweb.cgi?T=JS&amp;NEWS=n&amp;CSC=Y&amp;PAGE=booktext&amp;D=books&amp;AN=01787256$&amp;XPATH=/PG(0)&amp;EPUB=Y")</f>
        <v>http://ovidsp.ovid.com/ovidweb.cgi?T=JS&amp;NEWS=n&amp;CSC=Y&amp;PAGE=booktext&amp;D=books&amp;AN=01787256$&amp;XPATH=/PG(0)&amp;EPUB=Y</v>
      </c>
      <c r="H149" s="8" t="s">
        <v>1220</v>
      </c>
    </row>
    <row r="150" spans="1:8" x14ac:dyDescent="0.25">
      <c r="A150" s="4" t="s">
        <v>1380</v>
      </c>
      <c r="B150" s="5">
        <v>44137</v>
      </c>
      <c r="C150" s="6" t="s">
        <v>774</v>
      </c>
      <c r="D150" s="6" t="s">
        <v>776</v>
      </c>
      <c r="E150" s="6" t="s">
        <v>1525</v>
      </c>
      <c r="F150" s="6" t="s">
        <v>171</v>
      </c>
      <c r="G150" s="7" t="str">
        <f>HYPERLINK("http://ovidsp.ovid.com/ovidweb.cgi?T=JS&amp;NEWS=n&amp;CSC=Y&amp;PAGE=booktext&amp;D=books&amp;AN=02102010$&amp;XPATH=/PG(0)&amp;EPUB=Y","http://ovidsp.ovid.com/ovidweb.cgi?T=JS&amp;NEWS=n&amp;CSC=Y&amp;PAGE=booktext&amp;D=books&amp;AN=02102010$&amp;XPATH=/PG(0)&amp;EPUB=Y")</f>
        <v>http://ovidsp.ovid.com/ovidweb.cgi?T=JS&amp;NEWS=n&amp;CSC=Y&amp;PAGE=booktext&amp;D=books&amp;AN=02102010$&amp;XPATH=/PG(0)&amp;EPUB=Y</v>
      </c>
      <c r="H150" s="8" t="s">
        <v>1220</v>
      </c>
    </row>
    <row r="151" spans="1:8" x14ac:dyDescent="0.25">
      <c r="A151" s="4" t="s">
        <v>817</v>
      </c>
      <c r="B151" s="5">
        <v>44137</v>
      </c>
      <c r="C151" s="6" t="s">
        <v>315</v>
      </c>
      <c r="D151" s="6" t="s">
        <v>244</v>
      </c>
      <c r="E151" s="6" t="s">
        <v>1525</v>
      </c>
      <c r="F151" s="6" t="s">
        <v>618</v>
      </c>
      <c r="G151" s="7" t="str">
        <f>HYPERLINK("http://ovidsp.ovid.com/ovidweb.cgi?T=JS&amp;NEWS=n&amp;CSC=Y&amp;PAGE=booktext&amp;D=books&amp;AN=01979455$&amp;XPATH=/PG(0)&amp;EPUB=Y","http://ovidsp.ovid.com/ovidweb.cgi?T=JS&amp;NEWS=n&amp;CSC=Y&amp;PAGE=booktext&amp;D=books&amp;AN=01979455$&amp;XPATH=/PG(0)&amp;EPUB=Y")</f>
        <v>http://ovidsp.ovid.com/ovidweb.cgi?T=JS&amp;NEWS=n&amp;CSC=Y&amp;PAGE=booktext&amp;D=books&amp;AN=01979455$&amp;XPATH=/PG(0)&amp;EPUB=Y</v>
      </c>
      <c r="H151" s="8" t="s">
        <v>1220</v>
      </c>
    </row>
    <row r="152" spans="1:8" x14ac:dyDescent="0.25">
      <c r="A152" s="4" t="s">
        <v>854</v>
      </c>
      <c r="B152" s="5">
        <v>44137</v>
      </c>
      <c r="C152" s="6" t="s">
        <v>1455</v>
      </c>
      <c r="D152" s="6" t="s">
        <v>1518</v>
      </c>
      <c r="E152" s="6" t="s">
        <v>1525</v>
      </c>
      <c r="F152" s="6" t="s">
        <v>618</v>
      </c>
      <c r="G152" s="7" t="str">
        <f>HYPERLINK("http://ovidsp.ovid.com/ovidweb.cgi?T=JS&amp;NEWS=n&amp;CSC=Y&amp;PAGE=booktext&amp;D=books&amp;AN=01879012$&amp;XPATH=/PG(0)&amp;EPUB=Y","http://ovidsp.ovid.com/ovidweb.cgi?T=JS&amp;NEWS=n&amp;CSC=Y&amp;PAGE=booktext&amp;D=books&amp;AN=01879012$&amp;XPATH=/PG(0)&amp;EPUB=Y")</f>
        <v>http://ovidsp.ovid.com/ovidweb.cgi?T=JS&amp;NEWS=n&amp;CSC=Y&amp;PAGE=booktext&amp;D=books&amp;AN=01879012$&amp;XPATH=/PG(0)&amp;EPUB=Y</v>
      </c>
      <c r="H152" s="8" t="s">
        <v>1220</v>
      </c>
    </row>
    <row r="153" spans="1:8" x14ac:dyDescent="0.25">
      <c r="A153" s="4" t="s">
        <v>531</v>
      </c>
      <c r="B153" s="5">
        <v>44137</v>
      </c>
      <c r="C153" s="6" t="s">
        <v>927</v>
      </c>
      <c r="D153" s="6" t="s">
        <v>1519</v>
      </c>
      <c r="E153" s="6" t="s">
        <v>1525</v>
      </c>
      <c r="F153" s="6" t="s">
        <v>1092</v>
      </c>
      <c r="G153" s="7" t="str">
        <f>HYPERLINK("http://ovidsp.ovid.com/ovidweb.cgi?T=JS&amp;NEWS=n&amp;CSC=Y&amp;PAGE=booktext&amp;D=books&amp;AN=01437568$&amp;XPATH=/PG(0)&amp;EPUB=Y","http://ovidsp.ovid.com/ovidweb.cgi?T=JS&amp;NEWS=n&amp;CSC=Y&amp;PAGE=booktext&amp;D=books&amp;AN=01437568$&amp;XPATH=/PG(0)&amp;EPUB=Y")</f>
        <v>http://ovidsp.ovid.com/ovidweb.cgi?T=JS&amp;NEWS=n&amp;CSC=Y&amp;PAGE=booktext&amp;D=books&amp;AN=01437568$&amp;XPATH=/PG(0)&amp;EPUB=Y</v>
      </c>
      <c r="H153" s="8" t="s">
        <v>1220</v>
      </c>
    </row>
    <row r="154" spans="1:8" x14ac:dyDescent="0.25">
      <c r="A154" s="4" t="s">
        <v>810</v>
      </c>
      <c r="B154" s="5">
        <v>44137</v>
      </c>
      <c r="C154" s="6" t="s">
        <v>813</v>
      </c>
      <c r="D154" s="6" t="s">
        <v>977</v>
      </c>
      <c r="E154" s="6" t="s">
        <v>1525</v>
      </c>
      <c r="F154" s="6" t="s">
        <v>1277</v>
      </c>
      <c r="G154" s="7" t="str">
        <f>HYPERLINK("http://ovidsp.ovid.com/ovidweb.cgi?T=JS&amp;NEWS=n&amp;CSC=Y&amp;PAGE=booktext&amp;D=books&amp;AN=01437402$&amp;XPATH=/PG(0)&amp;EPUB=Y","http://ovidsp.ovid.com/ovidweb.cgi?T=JS&amp;NEWS=n&amp;CSC=Y&amp;PAGE=booktext&amp;D=books&amp;AN=01437402$&amp;XPATH=/PG(0)&amp;EPUB=Y")</f>
        <v>http://ovidsp.ovid.com/ovidweb.cgi?T=JS&amp;NEWS=n&amp;CSC=Y&amp;PAGE=booktext&amp;D=books&amp;AN=01437402$&amp;XPATH=/PG(0)&amp;EPUB=Y</v>
      </c>
      <c r="H154" s="8" t="s">
        <v>1220</v>
      </c>
    </row>
    <row r="155" spans="1:8" x14ac:dyDescent="0.25">
      <c r="A155" s="4" t="s">
        <v>1071</v>
      </c>
      <c r="B155" s="5">
        <v>44137</v>
      </c>
      <c r="C155" s="6" t="s">
        <v>1219</v>
      </c>
      <c r="D155" s="6" t="s">
        <v>1527</v>
      </c>
      <c r="E155" s="6" t="s">
        <v>1525</v>
      </c>
      <c r="F155" s="6" t="s">
        <v>845</v>
      </c>
      <c r="G155" s="7" t="str">
        <f>HYPERLINK("http://ovidsp.ovid.com/ovidweb.cgi?T=JS&amp;NEWS=n&amp;CSC=Y&amp;PAGE=booktext&amp;D=books&amp;AN=01960890$&amp;XPATH=/PG(0)&amp;EPUB=Y","http://ovidsp.ovid.com/ovidweb.cgi?T=JS&amp;NEWS=n&amp;CSC=Y&amp;PAGE=booktext&amp;D=books&amp;AN=01960890$&amp;XPATH=/PG(0)&amp;EPUB=Y")</f>
        <v>http://ovidsp.ovid.com/ovidweb.cgi?T=JS&amp;NEWS=n&amp;CSC=Y&amp;PAGE=booktext&amp;D=books&amp;AN=01960890$&amp;XPATH=/PG(0)&amp;EPUB=Y</v>
      </c>
      <c r="H155" s="8" t="s">
        <v>1314</v>
      </c>
    </row>
    <row r="156" spans="1:8" x14ac:dyDescent="0.25">
      <c r="A156" s="4" t="s">
        <v>1187</v>
      </c>
      <c r="B156" s="5">
        <v>44137</v>
      </c>
      <c r="C156" s="6" t="s">
        <v>377</v>
      </c>
      <c r="D156" s="6" t="s">
        <v>892</v>
      </c>
      <c r="E156" s="6" t="s">
        <v>1525</v>
      </c>
      <c r="F156" s="6" t="s">
        <v>1122</v>
      </c>
      <c r="G156" s="7" t="str">
        <f>HYPERLINK("http://ovidsp.ovid.com/ovidweb.cgi?T=JS&amp;NEWS=n&amp;CSC=Y&amp;PAGE=booktext&amp;D=books&amp;AN=01996158$&amp;XPATH=/PG(0)&amp;EPUB=Y","http://ovidsp.ovid.com/ovidweb.cgi?T=JS&amp;NEWS=n&amp;CSC=Y&amp;PAGE=booktext&amp;D=books&amp;AN=01996158$&amp;XPATH=/PG(0)&amp;EPUB=Y")</f>
        <v>http://ovidsp.ovid.com/ovidweb.cgi?T=JS&amp;NEWS=n&amp;CSC=Y&amp;PAGE=booktext&amp;D=books&amp;AN=01996158$&amp;XPATH=/PG(0)&amp;EPUB=Y</v>
      </c>
      <c r="H156" s="8" t="s">
        <v>1314</v>
      </c>
    </row>
    <row r="157" spans="1:8" x14ac:dyDescent="0.25">
      <c r="A157" s="4" t="s">
        <v>993</v>
      </c>
      <c r="B157" s="5">
        <v>44137</v>
      </c>
      <c r="C157" s="6" t="s">
        <v>799</v>
      </c>
      <c r="D157" s="6" t="s">
        <v>1154</v>
      </c>
      <c r="E157" s="6" t="s">
        <v>1525</v>
      </c>
      <c r="F157" s="6" t="s">
        <v>444</v>
      </c>
      <c r="G157" s="7" t="str">
        <f>HYPERLINK("http://ovidsp.ovid.com/ovidweb.cgi?T=JS&amp;NEWS=n&amp;CSC=Y&amp;PAGE=booktext&amp;D=books&amp;AN=01996161$&amp;XPATH=/PG(0)&amp;EPUB=Y","http://ovidsp.ovid.com/ovidweb.cgi?T=JS&amp;NEWS=n&amp;CSC=Y&amp;PAGE=booktext&amp;D=books&amp;AN=01996161$&amp;XPATH=/PG(0)&amp;EPUB=Y")</f>
        <v>http://ovidsp.ovid.com/ovidweb.cgi?T=JS&amp;NEWS=n&amp;CSC=Y&amp;PAGE=booktext&amp;D=books&amp;AN=01996161$&amp;XPATH=/PG(0)&amp;EPUB=Y</v>
      </c>
      <c r="H157" s="8" t="s">
        <v>1314</v>
      </c>
    </row>
    <row r="158" spans="1:8" x14ac:dyDescent="0.25">
      <c r="A158" s="4" t="s">
        <v>1441</v>
      </c>
      <c r="B158" s="5">
        <v>44137</v>
      </c>
      <c r="C158" s="6" t="s">
        <v>369</v>
      </c>
      <c r="D158" s="6" t="s">
        <v>1032</v>
      </c>
      <c r="E158" s="6" t="s">
        <v>1525</v>
      </c>
      <c r="F158" s="6" t="s">
        <v>1582</v>
      </c>
      <c r="G158" s="7" t="str">
        <f>HYPERLINK("http://ovidsp.ovid.com/ovidweb.cgi?T=JS&amp;NEWS=n&amp;CSC=Y&amp;PAGE=booktext&amp;D=books&amp;AN=02112923$&amp;XPATH=/PG(0)&amp;EPUB=Y","http://ovidsp.ovid.com/ovidweb.cgi?T=JS&amp;NEWS=n&amp;CSC=Y&amp;PAGE=booktext&amp;D=books&amp;AN=02112923$&amp;XPATH=/PG(0)&amp;EPUB=Y")</f>
        <v>http://ovidsp.ovid.com/ovidweb.cgi?T=JS&amp;NEWS=n&amp;CSC=Y&amp;PAGE=booktext&amp;D=books&amp;AN=02112923$&amp;XPATH=/PG(0)&amp;EPUB=Y</v>
      </c>
      <c r="H158" s="8" t="s">
        <v>1220</v>
      </c>
    </row>
    <row r="159" spans="1:8" x14ac:dyDescent="0.25">
      <c r="A159" s="4" t="s">
        <v>115</v>
      </c>
      <c r="B159" s="5">
        <v>44137</v>
      </c>
      <c r="C159" s="6" t="s">
        <v>1552</v>
      </c>
      <c r="D159" s="6" t="s">
        <v>172</v>
      </c>
      <c r="E159" s="6" t="s">
        <v>1525</v>
      </c>
      <c r="F159" s="6" t="s">
        <v>1582</v>
      </c>
      <c r="G159" s="7" t="str">
        <f>HYPERLINK("http://ovidsp.ovid.com/ovidweb.cgi?T=JS&amp;NEWS=n&amp;CSC=Y&amp;PAGE=booktext&amp;D=books&amp;AN=02112922$&amp;XPATH=/PG(0)&amp;EPUB=Y","http://ovidsp.ovid.com/ovidweb.cgi?T=JS&amp;NEWS=n&amp;CSC=Y&amp;PAGE=booktext&amp;D=books&amp;AN=02112922$&amp;XPATH=/PG(0)&amp;EPUB=Y")</f>
        <v>http://ovidsp.ovid.com/ovidweb.cgi?T=JS&amp;NEWS=n&amp;CSC=Y&amp;PAGE=booktext&amp;D=books&amp;AN=02112922$&amp;XPATH=/PG(0)&amp;EPUB=Y</v>
      </c>
      <c r="H159" s="8" t="s">
        <v>1220</v>
      </c>
    </row>
    <row r="160" spans="1:8" x14ac:dyDescent="0.25">
      <c r="A160" s="4" t="s">
        <v>3</v>
      </c>
      <c r="B160" s="5">
        <v>44137</v>
      </c>
      <c r="C160" s="6" t="s">
        <v>393</v>
      </c>
      <c r="D160" s="6" t="s">
        <v>1233</v>
      </c>
      <c r="E160" s="6" t="s">
        <v>1525</v>
      </c>
      <c r="F160" s="6" t="s">
        <v>1092</v>
      </c>
      <c r="G160" s="7" t="str">
        <f>HYPERLINK("http://ovidsp.ovid.com/ovidweb.cgi?T=JS&amp;NEWS=n&amp;CSC=Y&amp;PAGE=booktext&amp;D=books&amp;AN=01817292$&amp;XPATH=/PG(0)&amp;EPUB=Y","http://ovidsp.ovid.com/ovidweb.cgi?T=JS&amp;NEWS=n&amp;CSC=Y&amp;PAGE=booktext&amp;D=books&amp;AN=01817292$&amp;XPATH=/PG(0)&amp;EPUB=Y")</f>
        <v>http://ovidsp.ovid.com/ovidweb.cgi?T=JS&amp;NEWS=n&amp;CSC=Y&amp;PAGE=booktext&amp;D=books&amp;AN=01817292$&amp;XPATH=/PG(0)&amp;EPUB=Y</v>
      </c>
      <c r="H160" s="8" t="s">
        <v>1220</v>
      </c>
    </row>
    <row r="161" spans="1:8" x14ac:dyDescent="0.25">
      <c r="A161" s="4" t="s">
        <v>555</v>
      </c>
      <c r="B161" s="5">
        <v>44137</v>
      </c>
      <c r="C161" s="6" t="s">
        <v>1301</v>
      </c>
      <c r="D161" s="6" t="s">
        <v>1437</v>
      </c>
      <c r="E161" s="6" t="s">
        <v>1525</v>
      </c>
      <c r="F161" s="6" t="s">
        <v>1161</v>
      </c>
      <c r="G161" s="7" t="str">
        <f>HYPERLINK("http://ovidsp.ovid.com/ovidweb.cgi?T=JS&amp;NEWS=n&amp;CSC=Y&amp;PAGE=booktext&amp;D=books&amp;AN=01787260$&amp;XPATH=/PG(0)&amp;EPUB=Y","http://ovidsp.ovid.com/ovidweb.cgi?T=JS&amp;NEWS=n&amp;CSC=Y&amp;PAGE=booktext&amp;D=books&amp;AN=01787260$&amp;XPATH=/PG(0)&amp;EPUB=Y")</f>
        <v>http://ovidsp.ovid.com/ovidweb.cgi?T=JS&amp;NEWS=n&amp;CSC=Y&amp;PAGE=booktext&amp;D=books&amp;AN=01787260$&amp;XPATH=/PG(0)&amp;EPUB=Y</v>
      </c>
      <c r="H161" s="8" t="s">
        <v>1220</v>
      </c>
    </row>
    <row r="162" spans="1:8" x14ac:dyDescent="0.25">
      <c r="A162" s="4" t="s">
        <v>1292</v>
      </c>
      <c r="B162" s="5">
        <v>44137</v>
      </c>
      <c r="C162" s="6" t="s">
        <v>1173</v>
      </c>
      <c r="D162" s="6" t="s">
        <v>533</v>
      </c>
      <c r="E162" s="6" t="s">
        <v>1525</v>
      </c>
      <c r="F162" s="6" t="s">
        <v>444</v>
      </c>
      <c r="G162" s="7" t="str">
        <f>HYPERLINK("http://ovidsp.ovid.com/ovidweb.cgi?T=JS&amp;NEWS=n&amp;CSC=Y&amp;PAGE=booktext&amp;D=books&amp;AN=01439423$&amp;XPATH=/PG(0)&amp;EPUB=Y","http://ovidsp.ovid.com/ovidweb.cgi?T=JS&amp;NEWS=n&amp;CSC=Y&amp;PAGE=booktext&amp;D=books&amp;AN=01439423$&amp;XPATH=/PG(0)&amp;EPUB=Y")</f>
        <v>http://ovidsp.ovid.com/ovidweb.cgi?T=JS&amp;NEWS=n&amp;CSC=Y&amp;PAGE=booktext&amp;D=books&amp;AN=01439423$&amp;XPATH=/PG(0)&amp;EPUB=Y</v>
      </c>
      <c r="H162" s="8" t="s">
        <v>1220</v>
      </c>
    </row>
    <row r="163" spans="1:8" x14ac:dyDescent="0.25">
      <c r="A163" s="4" t="s">
        <v>1712</v>
      </c>
      <c r="B163" s="5">
        <v>44137</v>
      </c>
      <c r="C163" s="6" t="s">
        <v>1539</v>
      </c>
      <c r="D163" s="6" t="s">
        <v>1744</v>
      </c>
      <c r="E163" s="6" t="s">
        <v>1525</v>
      </c>
      <c r="F163" s="6" t="s">
        <v>1161</v>
      </c>
      <c r="G163" s="7" t="str">
        <f>HYPERLINK("http://ovidsp.ovid.com/ovidweb.cgi?T=JS&amp;NEWS=n&amp;CSC=Y&amp;PAGE=booktext&amp;D=books&amp;AN=01745945$&amp;XPATH=/PG(0)&amp;EPUB=Y","http://ovidsp.ovid.com/ovidweb.cgi?T=JS&amp;NEWS=n&amp;CSC=Y&amp;PAGE=booktext&amp;D=books&amp;AN=01745945$&amp;XPATH=/PG(0)&amp;EPUB=Y")</f>
        <v>http://ovidsp.ovid.com/ovidweb.cgi?T=JS&amp;NEWS=n&amp;CSC=Y&amp;PAGE=booktext&amp;D=books&amp;AN=01745945$&amp;XPATH=/PG(0)&amp;EPUB=Y</v>
      </c>
      <c r="H163" s="8" t="s">
        <v>1220</v>
      </c>
    </row>
    <row r="164" spans="1:8" x14ac:dyDescent="0.25">
      <c r="A164" s="4" t="s">
        <v>523</v>
      </c>
      <c r="B164" s="5">
        <v>44137</v>
      </c>
      <c r="C164" s="6" t="s">
        <v>263</v>
      </c>
      <c r="D164" s="6" t="s">
        <v>1739</v>
      </c>
      <c r="E164" s="6" t="s">
        <v>1525</v>
      </c>
      <c r="F164" s="6" t="s">
        <v>1122</v>
      </c>
      <c r="G164" s="7" t="str">
        <f>HYPERLINK("http://ovidsp.ovid.com/ovidweb.cgi?T=JS&amp;NEWS=n&amp;CSC=Y&amp;PAGE=booktext&amp;D=books&amp;AN=02003487$&amp;XPATH=/PG(0)&amp;EPUB=Y","http://ovidsp.ovid.com/ovidweb.cgi?T=JS&amp;NEWS=n&amp;CSC=Y&amp;PAGE=booktext&amp;D=books&amp;AN=02003487$&amp;XPATH=/PG(0)&amp;EPUB=Y")</f>
        <v>http://ovidsp.ovid.com/ovidweb.cgi?T=JS&amp;NEWS=n&amp;CSC=Y&amp;PAGE=booktext&amp;D=books&amp;AN=02003487$&amp;XPATH=/PG(0)&amp;EPUB=Y</v>
      </c>
      <c r="H164" s="8" t="s">
        <v>1220</v>
      </c>
    </row>
    <row r="165" spans="1:8" x14ac:dyDescent="0.25">
      <c r="A165" s="4" t="s">
        <v>938</v>
      </c>
      <c r="B165" s="5">
        <v>44137</v>
      </c>
      <c r="C165" s="6" t="s">
        <v>1142</v>
      </c>
      <c r="D165" s="6" t="s">
        <v>902</v>
      </c>
      <c r="E165" s="6" t="s">
        <v>1525</v>
      </c>
      <c r="F165" s="6" t="s">
        <v>1092</v>
      </c>
      <c r="G165" s="7" t="str">
        <f>HYPERLINK("http://ovidsp.ovid.com/ovidweb.cgi?T=JS&amp;NEWS=n&amp;CSC=Y&amp;PAGE=booktext&amp;D=books&amp;AN=01641765$&amp;XPATH=/PG(0)&amp;EPUB=Y","http://ovidsp.ovid.com/ovidweb.cgi?T=JS&amp;NEWS=n&amp;CSC=Y&amp;PAGE=booktext&amp;D=books&amp;AN=01641765$&amp;XPATH=/PG(0)&amp;EPUB=Y")</f>
        <v>http://ovidsp.ovid.com/ovidweb.cgi?T=JS&amp;NEWS=n&amp;CSC=Y&amp;PAGE=booktext&amp;D=books&amp;AN=01641765$&amp;XPATH=/PG(0)&amp;EPUB=Y</v>
      </c>
      <c r="H165" s="8" t="s">
        <v>1220</v>
      </c>
    </row>
    <row r="166" spans="1:8" x14ac:dyDescent="0.25">
      <c r="A166" s="4" t="s">
        <v>1363</v>
      </c>
      <c r="B166" s="5">
        <v>44137</v>
      </c>
      <c r="C166" s="6" t="s">
        <v>1416</v>
      </c>
      <c r="D166" s="6" t="s">
        <v>602</v>
      </c>
      <c r="E166" s="6" t="s">
        <v>1525</v>
      </c>
      <c r="F166" s="6" t="s">
        <v>1277</v>
      </c>
      <c r="G166" s="7" t="str">
        <f>HYPERLINK("http://ovidsp.ovid.com/ovidweb.cgi?T=JS&amp;NEWS=n&amp;CSC=Y&amp;PAGE=booktext&amp;D=books&amp;AN=02158047$&amp;XPATH=/PG(0)&amp;EPUB=Y","http://ovidsp.ovid.com/ovidweb.cgi?T=JS&amp;NEWS=n&amp;CSC=Y&amp;PAGE=booktext&amp;D=books&amp;AN=02158047$&amp;XPATH=/PG(0)&amp;EPUB=Y")</f>
        <v>http://ovidsp.ovid.com/ovidweb.cgi?T=JS&amp;NEWS=n&amp;CSC=Y&amp;PAGE=booktext&amp;D=books&amp;AN=02158047$&amp;XPATH=/PG(0)&amp;EPUB=Y</v>
      </c>
      <c r="H166" s="8" t="s">
        <v>1220</v>
      </c>
    </row>
    <row r="167" spans="1:8" x14ac:dyDescent="0.25">
      <c r="A167" s="4" t="s">
        <v>1748</v>
      </c>
      <c r="B167" s="5">
        <v>44137</v>
      </c>
      <c r="C167" s="6" t="s">
        <v>1113</v>
      </c>
      <c r="D167" s="6" t="s">
        <v>1583</v>
      </c>
      <c r="E167" s="6" t="s">
        <v>1525</v>
      </c>
      <c r="F167" s="6" t="s">
        <v>1368</v>
      </c>
      <c r="G167" s="7" t="str">
        <f>HYPERLINK("http://ovidsp.ovid.com/ovidweb.cgi?T=JS&amp;NEWS=n&amp;CSC=Y&amp;PAGE=booktext&amp;D=books&amp;AN=01781599$&amp;XPATH=/PG(0)&amp;EPUB=Y","http://ovidsp.ovid.com/ovidweb.cgi?T=JS&amp;NEWS=n&amp;CSC=Y&amp;PAGE=booktext&amp;D=books&amp;AN=01781599$&amp;XPATH=/PG(0)&amp;EPUB=Y")</f>
        <v>http://ovidsp.ovid.com/ovidweb.cgi?T=JS&amp;NEWS=n&amp;CSC=Y&amp;PAGE=booktext&amp;D=books&amp;AN=01781599$&amp;XPATH=/PG(0)&amp;EPUB=Y</v>
      </c>
      <c r="H167" s="8" t="s">
        <v>1220</v>
      </c>
    </row>
    <row r="168" spans="1:8" x14ac:dyDescent="0.25">
      <c r="A168" s="4" t="s">
        <v>1257</v>
      </c>
      <c r="B168" s="5">
        <v>44137</v>
      </c>
      <c r="C168" s="6" t="s">
        <v>725</v>
      </c>
      <c r="D168" s="6" t="s">
        <v>162</v>
      </c>
      <c r="E168" s="6" t="s">
        <v>1525</v>
      </c>
      <c r="F168" s="6" t="s">
        <v>1277</v>
      </c>
      <c r="G168" s="7" t="str">
        <f>HYPERLINK("http://ovidsp.ovid.com/ovidweb.cgi?T=JS&amp;NEWS=n&amp;CSC=Y&amp;PAGE=booktext&amp;D=books&amp;AN=01857007$&amp;XPATH=/PG(0)&amp;EPUB=Y","http://ovidsp.ovid.com/ovidweb.cgi?T=JS&amp;NEWS=n&amp;CSC=Y&amp;PAGE=booktext&amp;D=books&amp;AN=01857007$&amp;XPATH=/PG(0)&amp;EPUB=Y")</f>
        <v>http://ovidsp.ovid.com/ovidweb.cgi?T=JS&amp;NEWS=n&amp;CSC=Y&amp;PAGE=booktext&amp;D=books&amp;AN=01857007$&amp;XPATH=/PG(0)&amp;EPUB=Y</v>
      </c>
      <c r="H168" s="8" t="s">
        <v>1220</v>
      </c>
    </row>
    <row r="169" spans="1:8" x14ac:dyDescent="0.25">
      <c r="A169" s="4" t="s">
        <v>1177</v>
      </c>
      <c r="B169" s="5">
        <v>44137</v>
      </c>
      <c r="C169" s="6" t="s">
        <v>639</v>
      </c>
      <c r="D169" s="6" t="s">
        <v>478</v>
      </c>
      <c r="E169" s="6" t="s">
        <v>1525</v>
      </c>
      <c r="F169" s="6" t="s">
        <v>1161</v>
      </c>
      <c r="G169" s="7" t="str">
        <f>HYPERLINK("http://ovidsp.ovid.com/ovidweb.cgi?T=JS&amp;NEWS=n&amp;CSC=Y&amp;PAGE=booktext&amp;D=books&amp;AN=01899897$&amp;XPATH=/PG(0)&amp;EPUB=Y","http://ovidsp.ovid.com/ovidweb.cgi?T=JS&amp;NEWS=n&amp;CSC=Y&amp;PAGE=booktext&amp;D=books&amp;AN=01899897$&amp;XPATH=/PG(0)&amp;EPUB=Y")</f>
        <v>http://ovidsp.ovid.com/ovidweb.cgi?T=JS&amp;NEWS=n&amp;CSC=Y&amp;PAGE=booktext&amp;D=books&amp;AN=01899897$&amp;XPATH=/PG(0)&amp;EPUB=Y</v>
      </c>
      <c r="H169" s="8" t="s">
        <v>1220</v>
      </c>
    </row>
    <row r="170" spans="1:8" x14ac:dyDescent="0.25">
      <c r="A170" s="4" t="s">
        <v>935</v>
      </c>
      <c r="B170" s="5">
        <v>44137</v>
      </c>
      <c r="C170" s="6" t="s">
        <v>1485</v>
      </c>
      <c r="D170" s="6" t="s">
        <v>959</v>
      </c>
      <c r="E170" s="6" t="s">
        <v>1525</v>
      </c>
      <c r="F170" s="6" t="s">
        <v>1092</v>
      </c>
      <c r="G170" s="7" t="str">
        <f>HYPERLINK("http://ovidsp.ovid.com/ovidweb.cgi?T=JS&amp;NEWS=n&amp;CSC=Y&amp;PAGE=booktext&amp;D=books&amp;AN=01438887$&amp;XPATH=/PG(0)&amp;EPUB=Y","http://ovidsp.ovid.com/ovidweb.cgi?T=JS&amp;NEWS=n&amp;CSC=Y&amp;PAGE=booktext&amp;D=books&amp;AN=01438887$&amp;XPATH=/PG(0)&amp;EPUB=Y")</f>
        <v>http://ovidsp.ovid.com/ovidweb.cgi?T=JS&amp;NEWS=n&amp;CSC=Y&amp;PAGE=booktext&amp;D=books&amp;AN=01438887$&amp;XPATH=/PG(0)&amp;EPUB=Y</v>
      </c>
      <c r="H170" s="8" t="s">
        <v>1220</v>
      </c>
    </row>
    <row r="171" spans="1:8" x14ac:dyDescent="0.25">
      <c r="A171" s="4" t="s">
        <v>899</v>
      </c>
      <c r="B171" s="5">
        <v>44137</v>
      </c>
      <c r="C171" s="6" t="s">
        <v>201</v>
      </c>
      <c r="D171" s="6" t="s">
        <v>867</v>
      </c>
      <c r="E171" s="6" t="s">
        <v>1525</v>
      </c>
      <c r="F171" s="6" t="s">
        <v>1092</v>
      </c>
      <c r="G171" s="7" t="str">
        <f>HYPERLINK("http://ovidsp.ovid.com/ovidweb.cgi?T=JS&amp;NEWS=n&amp;CSC=Y&amp;PAGE=booktext&amp;D=books&amp;AN=01787261$&amp;XPATH=/PG(0)&amp;EPUB=Y","http://ovidsp.ovid.com/ovidweb.cgi?T=JS&amp;NEWS=n&amp;CSC=Y&amp;PAGE=booktext&amp;D=books&amp;AN=01787261$&amp;XPATH=/PG(0)&amp;EPUB=Y")</f>
        <v>http://ovidsp.ovid.com/ovidweb.cgi?T=JS&amp;NEWS=n&amp;CSC=Y&amp;PAGE=booktext&amp;D=books&amp;AN=01787261$&amp;XPATH=/PG(0)&amp;EPUB=Y</v>
      </c>
      <c r="H171" s="8" t="s">
        <v>1220</v>
      </c>
    </row>
    <row r="172" spans="1:8" x14ac:dyDescent="0.25">
      <c r="A172" s="4" t="s">
        <v>720</v>
      </c>
      <c r="B172" s="5">
        <v>44137</v>
      </c>
      <c r="C172" s="6" t="s">
        <v>708</v>
      </c>
      <c r="D172" s="6" t="s">
        <v>1296</v>
      </c>
      <c r="E172" s="6" t="s">
        <v>1525</v>
      </c>
      <c r="F172" s="6" t="s">
        <v>1092</v>
      </c>
      <c r="G172" s="7" t="str">
        <f>HYPERLINK("http://ovidsp.ovid.com/ovidweb.cgi?T=JS&amp;NEWS=n&amp;CSC=Y&amp;PAGE=booktext&amp;D=books&amp;AN=01929437$&amp;XPATH=/PG(0)&amp;EPUB=Y","http://ovidsp.ovid.com/ovidweb.cgi?T=JS&amp;NEWS=n&amp;CSC=Y&amp;PAGE=booktext&amp;D=books&amp;AN=01929437$&amp;XPATH=/PG(0)&amp;EPUB=Y")</f>
        <v>http://ovidsp.ovid.com/ovidweb.cgi?T=JS&amp;NEWS=n&amp;CSC=Y&amp;PAGE=booktext&amp;D=books&amp;AN=01929437$&amp;XPATH=/PG(0)&amp;EPUB=Y</v>
      </c>
      <c r="H172" s="8" t="s">
        <v>1220</v>
      </c>
    </row>
    <row r="173" spans="1:8" x14ac:dyDescent="0.25">
      <c r="A173" s="4" t="s">
        <v>1168</v>
      </c>
      <c r="B173" s="5">
        <v>44137</v>
      </c>
      <c r="C173" s="6" t="s">
        <v>659</v>
      </c>
      <c r="D173" s="6" t="s">
        <v>1072</v>
      </c>
      <c r="E173" s="6" t="s">
        <v>1525</v>
      </c>
      <c r="F173" s="6" t="s">
        <v>1254</v>
      </c>
      <c r="G173" s="7" t="str">
        <f>HYPERLINK("http://ovidsp.ovid.com/ovidweb.cgi?T=JS&amp;NEWS=n&amp;CSC=Y&amp;PAGE=booktext&amp;D=books&amp;AN=02118614$&amp;XPATH=/PG(0)&amp;EPUB=Y","http://ovidsp.ovid.com/ovidweb.cgi?T=JS&amp;NEWS=n&amp;CSC=Y&amp;PAGE=booktext&amp;D=books&amp;AN=02118614$&amp;XPATH=/PG(0)&amp;EPUB=Y")</f>
        <v>http://ovidsp.ovid.com/ovidweb.cgi?T=JS&amp;NEWS=n&amp;CSC=Y&amp;PAGE=booktext&amp;D=books&amp;AN=02118614$&amp;XPATH=/PG(0)&amp;EPUB=Y</v>
      </c>
      <c r="H173" s="8" t="s">
        <v>1220</v>
      </c>
    </row>
    <row r="174" spans="1:8" x14ac:dyDescent="0.25">
      <c r="A174" s="4" t="s">
        <v>5</v>
      </c>
      <c r="B174" s="5">
        <v>44137</v>
      </c>
      <c r="C174" s="6" t="s">
        <v>78</v>
      </c>
      <c r="D174" s="6" t="s">
        <v>985</v>
      </c>
      <c r="E174" s="6" t="s">
        <v>1525</v>
      </c>
      <c r="F174" s="6" t="s">
        <v>845</v>
      </c>
      <c r="G174" s="7" t="str">
        <f>HYPERLINK("http://ovidsp.ovid.com/ovidweb.cgi?T=JS&amp;NEWS=n&amp;CSC=Y&amp;PAGE=booktext&amp;D=books&amp;AN=01807318$&amp;XPATH=/PG(0)&amp;EPUB=Y","http://ovidsp.ovid.com/ovidweb.cgi?T=JS&amp;NEWS=n&amp;CSC=Y&amp;PAGE=booktext&amp;D=books&amp;AN=01807318$&amp;XPATH=/PG(0)&amp;EPUB=Y")</f>
        <v>http://ovidsp.ovid.com/ovidweb.cgi?T=JS&amp;NEWS=n&amp;CSC=Y&amp;PAGE=booktext&amp;D=books&amp;AN=01807318$&amp;XPATH=/PG(0)&amp;EPUB=Y</v>
      </c>
      <c r="H174" s="8" t="s">
        <v>1220</v>
      </c>
    </row>
    <row r="175" spans="1:8" x14ac:dyDescent="0.25">
      <c r="A175" s="4" t="s">
        <v>239</v>
      </c>
      <c r="B175" s="5">
        <v>44137</v>
      </c>
      <c r="C175" s="6" t="s">
        <v>1018</v>
      </c>
      <c r="D175" s="6" t="s">
        <v>1317</v>
      </c>
      <c r="E175" s="6" t="s">
        <v>1525</v>
      </c>
      <c r="F175" s="6" t="s">
        <v>171</v>
      </c>
      <c r="G175" s="7" t="str">
        <f>HYPERLINK("http://ovidsp.ovid.com/ovidweb.cgi?T=JS&amp;NEWS=n&amp;CSC=Y&amp;PAGE=booktext&amp;D=books&amp;AN=01256978$&amp;XPATH=/PG(0)&amp;EPUB=Y","http://ovidsp.ovid.com/ovidweb.cgi?T=JS&amp;NEWS=n&amp;CSC=Y&amp;PAGE=booktext&amp;D=books&amp;AN=01256978$&amp;XPATH=/PG(0)&amp;EPUB=Y")</f>
        <v>http://ovidsp.ovid.com/ovidweb.cgi?T=JS&amp;NEWS=n&amp;CSC=Y&amp;PAGE=booktext&amp;D=books&amp;AN=01256978$&amp;XPATH=/PG(0)&amp;EPUB=Y</v>
      </c>
      <c r="H175" s="8" t="s">
        <v>1220</v>
      </c>
    </row>
    <row r="176" spans="1:8" x14ac:dyDescent="0.25">
      <c r="A176" s="4" t="s">
        <v>1576</v>
      </c>
      <c r="B176" s="5">
        <v>44137</v>
      </c>
      <c r="C176" s="6" t="s">
        <v>1557</v>
      </c>
      <c r="D176" s="6" t="s">
        <v>1718</v>
      </c>
      <c r="E176" s="6" t="s">
        <v>1525</v>
      </c>
      <c r="F176" s="6" t="s">
        <v>1582</v>
      </c>
      <c r="G176" s="7" t="str">
        <f>HYPERLINK("http://ovidsp.ovid.com/ovidweb.cgi?T=JS&amp;NEWS=n&amp;CSC=Y&amp;PAGE=booktext&amp;D=books&amp;AN=02070820$&amp;XPATH=/PG(0)&amp;EPUB=Y","http://ovidsp.ovid.com/ovidweb.cgi?T=JS&amp;NEWS=n&amp;CSC=Y&amp;PAGE=booktext&amp;D=books&amp;AN=02070820$&amp;XPATH=/PG(0)&amp;EPUB=Y")</f>
        <v>http://ovidsp.ovid.com/ovidweb.cgi?T=JS&amp;NEWS=n&amp;CSC=Y&amp;PAGE=booktext&amp;D=books&amp;AN=02070820$&amp;XPATH=/PG(0)&amp;EPUB=Y</v>
      </c>
      <c r="H176" s="8" t="s">
        <v>1314</v>
      </c>
    </row>
    <row r="177" spans="1:8" x14ac:dyDescent="0.25">
      <c r="A177" s="4" t="s">
        <v>381</v>
      </c>
      <c r="B177" s="5">
        <v>44137</v>
      </c>
      <c r="C177" s="6" t="s">
        <v>1415</v>
      </c>
      <c r="D177" s="6" t="s">
        <v>148</v>
      </c>
      <c r="E177" s="6" t="s">
        <v>1525</v>
      </c>
      <c r="F177" s="6" t="s">
        <v>1092</v>
      </c>
      <c r="G177" s="7" t="str">
        <f>HYPERLINK("http://ovidsp.ovid.com/ovidweb.cgi?T=JS&amp;NEWS=n&amp;CSC=Y&amp;PAGE=booktext&amp;D=books&amp;AN=02144602$&amp;XPATH=/PG(0)&amp;EPUB=Y","http://ovidsp.ovid.com/ovidweb.cgi?T=JS&amp;NEWS=n&amp;CSC=Y&amp;PAGE=booktext&amp;D=books&amp;AN=02144602$&amp;XPATH=/PG(0)&amp;EPUB=Y")</f>
        <v>http://ovidsp.ovid.com/ovidweb.cgi?T=JS&amp;NEWS=n&amp;CSC=Y&amp;PAGE=booktext&amp;D=books&amp;AN=02144602$&amp;XPATH=/PG(0)&amp;EPUB=Y</v>
      </c>
      <c r="H177" s="8" t="s">
        <v>1220</v>
      </c>
    </row>
    <row r="178" spans="1:8" x14ac:dyDescent="0.25">
      <c r="A178" s="4" t="s">
        <v>442</v>
      </c>
      <c r="B178" s="5">
        <v>44137</v>
      </c>
      <c r="C178" s="6" t="s">
        <v>849</v>
      </c>
      <c r="D178" s="6" t="s">
        <v>1232</v>
      </c>
      <c r="E178" s="6" t="s">
        <v>1525</v>
      </c>
      <c r="F178" s="6" t="s">
        <v>171</v>
      </c>
      <c r="G178" s="7" t="str">
        <f>HYPERLINK("http://ovidsp.ovid.com/ovidweb.cgi?T=JS&amp;NEWS=n&amp;CSC=Y&amp;PAGE=booktext&amp;D=books&amp;AN=02158165$&amp;XPATH=/PG(0)&amp;EPUB=Y","http://ovidsp.ovid.com/ovidweb.cgi?T=JS&amp;NEWS=n&amp;CSC=Y&amp;PAGE=booktext&amp;D=books&amp;AN=02158165$&amp;XPATH=/PG(0)&amp;EPUB=Y")</f>
        <v>http://ovidsp.ovid.com/ovidweb.cgi?T=JS&amp;NEWS=n&amp;CSC=Y&amp;PAGE=booktext&amp;D=books&amp;AN=02158165$&amp;XPATH=/PG(0)&amp;EPUB=Y</v>
      </c>
      <c r="H178" s="8" t="s">
        <v>1220</v>
      </c>
    </row>
    <row r="179" spans="1:8" x14ac:dyDescent="0.25">
      <c r="A179" s="4" t="s">
        <v>1264</v>
      </c>
      <c r="B179" s="5">
        <v>44137</v>
      </c>
      <c r="C179" s="6" t="s">
        <v>1659</v>
      </c>
      <c r="D179" s="6" t="s">
        <v>1045</v>
      </c>
      <c r="E179" s="6" t="s">
        <v>1525</v>
      </c>
      <c r="F179" s="6" t="s">
        <v>845</v>
      </c>
      <c r="G179" s="7" t="str">
        <f>HYPERLINK("http://ovidsp.ovid.com/ovidweb.cgi?T=JS&amp;NEWS=n&amp;CSC=Y&amp;PAGE=booktext&amp;D=books&amp;AN=01626624$&amp;XPATH=/PG(0)&amp;EPUB=Y","http://ovidsp.ovid.com/ovidweb.cgi?T=JS&amp;NEWS=n&amp;CSC=Y&amp;PAGE=booktext&amp;D=books&amp;AN=01626624$&amp;XPATH=/PG(0)&amp;EPUB=Y")</f>
        <v>http://ovidsp.ovid.com/ovidweb.cgi?T=JS&amp;NEWS=n&amp;CSC=Y&amp;PAGE=booktext&amp;D=books&amp;AN=01626624$&amp;XPATH=/PG(0)&amp;EPUB=Y</v>
      </c>
      <c r="H179" s="8" t="s">
        <v>1220</v>
      </c>
    </row>
    <row r="180" spans="1:8" x14ac:dyDescent="0.25">
      <c r="A180" s="4" t="s">
        <v>1039</v>
      </c>
      <c r="B180" s="5">
        <v>44137</v>
      </c>
      <c r="C180" s="6" t="s">
        <v>138</v>
      </c>
      <c r="D180" s="6" t="s">
        <v>144</v>
      </c>
      <c r="E180" s="6" t="s">
        <v>1525</v>
      </c>
      <c r="F180" s="6" t="s">
        <v>236</v>
      </c>
      <c r="G180" s="7" t="str">
        <f>HYPERLINK("http://ovidsp.ovid.com/ovidweb.cgi?T=JS&amp;NEWS=n&amp;CSC=Y&amp;PAGE=booktext&amp;D=books&amp;AN=02174541$&amp;XPATH=/PG(0)&amp;EPUB=Y","http://ovidsp.ovid.com/ovidweb.cgi?T=JS&amp;NEWS=n&amp;CSC=Y&amp;PAGE=booktext&amp;D=books&amp;AN=02174541$&amp;XPATH=/PG(0)&amp;EPUB=Y")</f>
        <v>http://ovidsp.ovid.com/ovidweb.cgi?T=JS&amp;NEWS=n&amp;CSC=Y&amp;PAGE=booktext&amp;D=books&amp;AN=02174541$&amp;XPATH=/PG(0)&amp;EPUB=Y</v>
      </c>
      <c r="H180" s="8" t="s">
        <v>1220</v>
      </c>
    </row>
    <row r="181" spans="1:8" x14ac:dyDescent="0.25">
      <c r="A181" s="4" t="s">
        <v>1106</v>
      </c>
      <c r="B181" s="5">
        <v>44137</v>
      </c>
      <c r="C181" s="6" t="s">
        <v>1262</v>
      </c>
      <c r="D181" s="6" t="s">
        <v>1486</v>
      </c>
      <c r="E181" s="6" t="s">
        <v>1525</v>
      </c>
      <c r="F181" s="6" t="s">
        <v>1092</v>
      </c>
      <c r="G181" s="7" t="str">
        <f>HYPERLINK("http://ovidsp.ovid.com/ovidweb.cgi?T=JS&amp;NEWS=n&amp;CSC=Y&amp;PAGE=booktext&amp;D=books&amp;AN=01996178$&amp;XPATH=/PG(0)&amp;EPUB=Y","http://ovidsp.ovid.com/ovidweb.cgi?T=JS&amp;NEWS=n&amp;CSC=Y&amp;PAGE=booktext&amp;D=books&amp;AN=01996178$&amp;XPATH=/PG(0)&amp;EPUB=Y")</f>
        <v>http://ovidsp.ovid.com/ovidweb.cgi?T=JS&amp;NEWS=n&amp;CSC=Y&amp;PAGE=booktext&amp;D=books&amp;AN=01996178$&amp;XPATH=/PG(0)&amp;EPUB=Y</v>
      </c>
      <c r="H181" s="8" t="s">
        <v>1314</v>
      </c>
    </row>
    <row r="182" spans="1:8" x14ac:dyDescent="0.25">
      <c r="A182" s="4" t="s">
        <v>1121</v>
      </c>
      <c r="B182" s="5">
        <v>44137</v>
      </c>
      <c r="C182" s="6" t="s">
        <v>856</v>
      </c>
      <c r="D182" s="6" t="s">
        <v>795</v>
      </c>
      <c r="E182" s="6" t="s">
        <v>1525</v>
      </c>
      <c r="F182" s="6" t="s">
        <v>444</v>
      </c>
      <c r="G182" s="7" t="str">
        <f>HYPERLINK("http://ovidsp.ovid.com/ovidweb.cgi?T=JS&amp;NEWS=n&amp;CSC=Y&amp;PAGE=booktext&amp;D=books&amp;AN=01867004$&amp;XPATH=/PG(0)&amp;EPUB=Y","http://ovidsp.ovid.com/ovidweb.cgi?T=JS&amp;NEWS=n&amp;CSC=Y&amp;PAGE=booktext&amp;D=books&amp;AN=01867004$&amp;XPATH=/PG(0)&amp;EPUB=Y")</f>
        <v>http://ovidsp.ovid.com/ovidweb.cgi?T=JS&amp;NEWS=n&amp;CSC=Y&amp;PAGE=booktext&amp;D=books&amp;AN=01867004$&amp;XPATH=/PG(0)&amp;EPUB=Y</v>
      </c>
      <c r="H182" s="8" t="s">
        <v>1220</v>
      </c>
    </row>
    <row r="183" spans="1:8" x14ac:dyDescent="0.25">
      <c r="A183" s="4" t="s">
        <v>1666</v>
      </c>
      <c r="B183" s="5">
        <v>44137</v>
      </c>
      <c r="C183" s="6" t="s">
        <v>877</v>
      </c>
      <c r="D183" s="6" t="s">
        <v>1162</v>
      </c>
      <c r="E183" s="6" t="s">
        <v>1525</v>
      </c>
      <c r="F183" s="6" t="s">
        <v>444</v>
      </c>
      <c r="G183" s="7" t="str">
        <f>HYPERLINK("http://ovidsp.ovid.com/ovidweb.cgi?T=JS&amp;NEWS=n&amp;CSC=Y&amp;PAGE=booktext&amp;D=books&amp;AN=01762496$&amp;XPATH=/PG(0)&amp;EPUB=Y","http://ovidsp.ovid.com/ovidweb.cgi?T=JS&amp;NEWS=n&amp;CSC=Y&amp;PAGE=booktext&amp;D=books&amp;AN=01762496$&amp;XPATH=/PG(0)&amp;EPUB=Y")</f>
        <v>http://ovidsp.ovid.com/ovidweb.cgi?T=JS&amp;NEWS=n&amp;CSC=Y&amp;PAGE=booktext&amp;D=books&amp;AN=01762496$&amp;XPATH=/PG(0)&amp;EPUB=Y</v>
      </c>
      <c r="H183" s="8" t="s">
        <v>1220</v>
      </c>
    </row>
    <row r="184" spans="1:8" x14ac:dyDescent="0.25">
      <c r="A184" s="4" t="s">
        <v>211</v>
      </c>
      <c r="B184" s="5">
        <v>44137</v>
      </c>
      <c r="C184" s="6" t="s">
        <v>395</v>
      </c>
      <c r="D184" s="6" t="s">
        <v>252</v>
      </c>
      <c r="E184" s="6" t="s">
        <v>1525</v>
      </c>
      <c r="F184" s="6" t="s">
        <v>444</v>
      </c>
      <c r="G184" s="7" t="str">
        <f>HYPERLINK("http://ovidsp.ovid.com/ovidweb.cgi?T=JS&amp;NEWS=n&amp;CSC=Y&amp;PAGE=booktext&amp;D=books&amp;AN=01996169$&amp;XPATH=/PG(0)&amp;EPUB=Y","http://ovidsp.ovid.com/ovidweb.cgi?T=JS&amp;NEWS=n&amp;CSC=Y&amp;PAGE=booktext&amp;D=books&amp;AN=01996169$&amp;XPATH=/PG(0)&amp;EPUB=Y")</f>
        <v>http://ovidsp.ovid.com/ovidweb.cgi?T=JS&amp;NEWS=n&amp;CSC=Y&amp;PAGE=booktext&amp;D=books&amp;AN=01996169$&amp;XPATH=/PG(0)&amp;EPUB=Y</v>
      </c>
      <c r="H184" s="8" t="s">
        <v>1220</v>
      </c>
    </row>
    <row r="185" spans="1:8" x14ac:dyDescent="0.25">
      <c r="A185" s="4" t="s">
        <v>709</v>
      </c>
      <c r="B185" s="5">
        <v>44137</v>
      </c>
      <c r="C185" s="6" t="s">
        <v>677</v>
      </c>
      <c r="D185" s="6" t="s">
        <v>750</v>
      </c>
      <c r="E185" s="6" t="s">
        <v>1525</v>
      </c>
      <c r="F185" s="6" t="s">
        <v>171</v>
      </c>
      <c r="G185" s="7" t="str">
        <f>HYPERLINK("http://ovidsp.ovid.com/ovidweb.cgi?T=JS&amp;NEWS=n&amp;CSC=Y&amp;PAGE=booktext&amp;D=books&amp;AN=01949548$&amp;XPATH=/PG(0)&amp;EPUB=Y","http://ovidsp.ovid.com/ovidweb.cgi?T=JS&amp;NEWS=n&amp;CSC=Y&amp;PAGE=booktext&amp;D=books&amp;AN=01949548$&amp;XPATH=/PG(0)&amp;EPUB=Y")</f>
        <v>http://ovidsp.ovid.com/ovidweb.cgi?T=JS&amp;NEWS=n&amp;CSC=Y&amp;PAGE=booktext&amp;D=books&amp;AN=01949548$&amp;XPATH=/PG(0)&amp;EPUB=Y</v>
      </c>
      <c r="H185" s="8" t="s">
        <v>1314</v>
      </c>
    </row>
    <row r="186" spans="1:8" x14ac:dyDescent="0.25">
      <c r="A186" s="4" t="s">
        <v>579</v>
      </c>
      <c r="B186" s="5">
        <v>44137</v>
      </c>
      <c r="C186" s="6" t="s">
        <v>840</v>
      </c>
      <c r="D186" s="6" t="s">
        <v>1660</v>
      </c>
      <c r="E186" s="6" t="s">
        <v>1525</v>
      </c>
      <c r="F186" s="6" t="s">
        <v>1627</v>
      </c>
      <c r="G186" s="7" t="str">
        <f>HYPERLINK("http://ovidsp.ovid.com/ovidweb.cgi?T=JS&amp;NEWS=n&amp;CSC=Y&amp;PAGE=booktext&amp;D=books&amp;AN=02118618$&amp;XPATH=/PG(0)&amp;EPUB=Y","http://ovidsp.ovid.com/ovidweb.cgi?T=JS&amp;NEWS=n&amp;CSC=Y&amp;PAGE=booktext&amp;D=books&amp;AN=02118618$&amp;XPATH=/PG(0)&amp;EPUB=Y")</f>
        <v>http://ovidsp.ovid.com/ovidweb.cgi?T=JS&amp;NEWS=n&amp;CSC=Y&amp;PAGE=booktext&amp;D=books&amp;AN=02118618$&amp;XPATH=/PG(0)&amp;EPUB=Y</v>
      </c>
      <c r="H186" s="8" t="s">
        <v>1220</v>
      </c>
    </row>
    <row r="187" spans="1:8" x14ac:dyDescent="0.25">
      <c r="A187" s="4" t="s">
        <v>944</v>
      </c>
      <c r="B187" s="5">
        <v>44137</v>
      </c>
      <c r="C187" s="6" t="s">
        <v>1475</v>
      </c>
      <c r="D187" s="6" t="s">
        <v>1342</v>
      </c>
      <c r="E187" s="6" t="s">
        <v>1525</v>
      </c>
      <c r="F187" s="6" t="s">
        <v>1122</v>
      </c>
      <c r="G187" s="7" t="str">
        <f>HYPERLINK("http://ovidsp.ovid.com/ovidweb.cgi?T=JS&amp;NEWS=n&amp;CSC=Y&amp;PAGE=booktext&amp;D=books&amp;AN=02148897$&amp;XPATH=/PG(0)&amp;EPUB=Y","http://ovidsp.ovid.com/ovidweb.cgi?T=JS&amp;NEWS=n&amp;CSC=Y&amp;PAGE=booktext&amp;D=books&amp;AN=02148897$&amp;XPATH=/PG(0)&amp;EPUB=Y")</f>
        <v>http://ovidsp.ovid.com/ovidweb.cgi?T=JS&amp;NEWS=n&amp;CSC=Y&amp;PAGE=booktext&amp;D=books&amp;AN=02148897$&amp;XPATH=/PG(0)&amp;EPUB=Y</v>
      </c>
      <c r="H187" s="8" t="s">
        <v>1220</v>
      </c>
    </row>
    <row r="188" spans="1:8" x14ac:dyDescent="0.25">
      <c r="A188" s="4" t="s">
        <v>991</v>
      </c>
      <c r="B188" s="5">
        <v>44137</v>
      </c>
      <c r="C188" s="6" t="s">
        <v>445</v>
      </c>
      <c r="D188" s="6" t="s">
        <v>1425</v>
      </c>
      <c r="E188" s="6" t="s">
        <v>1525</v>
      </c>
      <c r="F188" s="6" t="s">
        <v>444</v>
      </c>
      <c r="G188" s="7" t="str">
        <f>HYPERLINK("http://ovidsp.ovid.com/ovidweb.cgi?T=JS&amp;NEWS=n&amp;CSC=Y&amp;PAGE=booktext&amp;D=books&amp;AN=02118620$&amp;XPATH=/PG(0)&amp;EPUB=Y","http://ovidsp.ovid.com/ovidweb.cgi?T=JS&amp;NEWS=n&amp;CSC=Y&amp;PAGE=booktext&amp;D=books&amp;AN=02118620$&amp;XPATH=/PG(0)&amp;EPUB=Y")</f>
        <v>http://ovidsp.ovid.com/ovidweb.cgi?T=JS&amp;NEWS=n&amp;CSC=Y&amp;PAGE=booktext&amp;D=books&amp;AN=02118620$&amp;XPATH=/PG(0)&amp;EPUB=Y</v>
      </c>
      <c r="H188" s="8" t="s">
        <v>1220</v>
      </c>
    </row>
    <row r="189" spans="1:8" x14ac:dyDescent="0.25">
      <c r="A189" s="4" t="s">
        <v>998</v>
      </c>
      <c r="B189" s="5">
        <v>44137</v>
      </c>
      <c r="C189" s="6" t="s">
        <v>408</v>
      </c>
      <c r="D189" s="6" t="s">
        <v>43</v>
      </c>
      <c r="E189" s="6" t="s">
        <v>1525</v>
      </c>
      <c r="F189" s="6" t="s">
        <v>444</v>
      </c>
      <c r="G189" s="7" t="str">
        <f>HYPERLINK("http://ovidsp.ovid.com/ovidweb.cgi?T=JS&amp;NEWS=n&amp;CSC=Y&amp;PAGE=booktext&amp;D=books&amp;AN=02134428$&amp;XPATH=/PG(0)&amp;EPUB=Y","http://ovidsp.ovid.com/ovidweb.cgi?T=JS&amp;NEWS=n&amp;CSC=Y&amp;PAGE=booktext&amp;D=books&amp;AN=02134428$&amp;XPATH=/PG(0)&amp;EPUB=Y")</f>
        <v>http://ovidsp.ovid.com/ovidweb.cgi?T=JS&amp;NEWS=n&amp;CSC=Y&amp;PAGE=booktext&amp;D=books&amp;AN=02134428$&amp;XPATH=/PG(0)&amp;EPUB=Y</v>
      </c>
      <c r="H189" s="8" t="s">
        <v>1220</v>
      </c>
    </row>
    <row r="190" spans="1:8" x14ac:dyDescent="0.25">
      <c r="A190" s="4" t="s">
        <v>403</v>
      </c>
      <c r="B190" s="5">
        <v>44137</v>
      </c>
      <c r="C190" s="6" t="s">
        <v>87</v>
      </c>
      <c r="D190" s="6" t="s">
        <v>1613</v>
      </c>
      <c r="E190" s="6" t="s">
        <v>1525</v>
      </c>
      <c r="F190" s="6" t="s">
        <v>1161</v>
      </c>
      <c r="G190" s="7" t="str">
        <f>HYPERLINK("http://ovidsp.ovid.com/ovidweb.cgi?T=JS&amp;NEWS=n&amp;CSC=Y&amp;PAGE=booktext&amp;D=books&amp;AN=02118617$&amp;XPATH=/PG(0)&amp;EPUB=Y","http://ovidsp.ovid.com/ovidweb.cgi?T=JS&amp;NEWS=n&amp;CSC=Y&amp;PAGE=booktext&amp;D=books&amp;AN=02118617$&amp;XPATH=/PG(0)&amp;EPUB=Y")</f>
        <v>http://ovidsp.ovid.com/ovidweb.cgi?T=JS&amp;NEWS=n&amp;CSC=Y&amp;PAGE=booktext&amp;D=books&amp;AN=02118617$&amp;XPATH=/PG(0)&amp;EPUB=Y</v>
      </c>
      <c r="H190" s="8" t="s">
        <v>1220</v>
      </c>
    </row>
    <row r="191" spans="1:8" x14ac:dyDescent="0.25">
      <c r="A191" s="4" t="s">
        <v>625</v>
      </c>
      <c r="B191" s="5">
        <v>44137</v>
      </c>
      <c r="C191" s="6" t="s">
        <v>361</v>
      </c>
      <c r="D191" s="6" t="s">
        <v>94</v>
      </c>
      <c r="E191" s="6" t="s">
        <v>1525</v>
      </c>
      <c r="F191" s="6" t="s">
        <v>1161</v>
      </c>
      <c r="G191" s="7" t="str">
        <f>HYPERLINK("http://ovidsp.ovid.com/ovidweb.cgi?T=JS&amp;NEWS=n&amp;CSC=Y&amp;PAGE=booktext&amp;D=books&amp;AN=01938922$&amp;XPATH=/PG(0)&amp;EPUB=Y","http://ovidsp.ovid.com/ovidweb.cgi?T=JS&amp;NEWS=n&amp;CSC=Y&amp;PAGE=booktext&amp;D=books&amp;AN=01938922$&amp;XPATH=/PG(0)&amp;EPUB=Y")</f>
        <v>http://ovidsp.ovid.com/ovidweb.cgi?T=JS&amp;NEWS=n&amp;CSC=Y&amp;PAGE=booktext&amp;D=books&amp;AN=01938922$&amp;XPATH=/PG(0)&amp;EPUB=Y</v>
      </c>
      <c r="H191" s="8" t="s">
        <v>1220</v>
      </c>
    </row>
    <row r="192" spans="1:8" x14ac:dyDescent="0.25">
      <c r="A192" s="4" t="s">
        <v>1365</v>
      </c>
      <c r="B192" s="5">
        <v>44137</v>
      </c>
      <c r="C192" s="6" t="s">
        <v>1467</v>
      </c>
      <c r="D192" s="6" t="s">
        <v>228</v>
      </c>
      <c r="E192" s="6" t="s">
        <v>1525</v>
      </c>
      <c r="F192" s="6" t="s">
        <v>444</v>
      </c>
      <c r="G192" s="7" t="str">
        <f>HYPERLINK("http://ovidsp.ovid.com/ovidweb.cgi?T=JS&amp;NEWS=n&amp;CSC=Y&amp;PAGE=booktext&amp;D=books&amp;AN=01626557$&amp;XPATH=/PG(0)&amp;EPUB=Y","http://ovidsp.ovid.com/ovidweb.cgi?T=JS&amp;NEWS=n&amp;CSC=Y&amp;PAGE=booktext&amp;D=books&amp;AN=01626557$&amp;XPATH=/PG(0)&amp;EPUB=Y")</f>
        <v>http://ovidsp.ovid.com/ovidweb.cgi?T=JS&amp;NEWS=n&amp;CSC=Y&amp;PAGE=booktext&amp;D=books&amp;AN=01626557$&amp;XPATH=/PG(0)&amp;EPUB=Y</v>
      </c>
      <c r="H192" s="8" t="s">
        <v>1220</v>
      </c>
    </row>
    <row r="193" spans="1:8" x14ac:dyDescent="0.25">
      <c r="A193" s="4" t="s">
        <v>230</v>
      </c>
      <c r="B193" s="5">
        <v>44137</v>
      </c>
      <c r="C193" s="6" t="s">
        <v>883</v>
      </c>
      <c r="D193" s="6" t="s">
        <v>980</v>
      </c>
      <c r="E193" s="6" t="s">
        <v>1525</v>
      </c>
      <c r="F193" s="6" t="s">
        <v>618</v>
      </c>
      <c r="G193" s="7" t="str">
        <f>HYPERLINK("http://ovidsp.ovid.com/ovidweb.cgi?T=JS&amp;NEWS=n&amp;CSC=Y&amp;PAGE=booktext&amp;D=books&amp;AN=01929438$&amp;XPATH=/PG(0)&amp;EPUB=Y","http://ovidsp.ovid.com/ovidweb.cgi?T=JS&amp;NEWS=n&amp;CSC=Y&amp;PAGE=booktext&amp;D=books&amp;AN=01929438$&amp;XPATH=/PG(0)&amp;EPUB=Y")</f>
        <v>http://ovidsp.ovid.com/ovidweb.cgi?T=JS&amp;NEWS=n&amp;CSC=Y&amp;PAGE=booktext&amp;D=books&amp;AN=01929438$&amp;XPATH=/PG(0)&amp;EPUB=Y</v>
      </c>
      <c r="H193" s="8" t="s">
        <v>1220</v>
      </c>
    </row>
    <row r="194" spans="1:8" x14ac:dyDescent="0.25">
      <c r="A194" s="4" t="s">
        <v>273</v>
      </c>
      <c r="B194" s="5">
        <v>44137</v>
      </c>
      <c r="C194" s="6" t="s">
        <v>25</v>
      </c>
      <c r="D194" s="6" t="s">
        <v>821</v>
      </c>
      <c r="E194" s="6" t="s">
        <v>1525</v>
      </c>
      <c r="F194" s="6" t="s">
        <v>171</v>
      </c>
      <c r="G194" s="7" t="str">
        <f>HYPERLINK("http://ovidsp.ovid.com/ovidweb.cgi?T=JS&amp;NEWS=n&amp;CSC=Y&amp;PAGE=booktext&amp;D=books&amp;AN=01382743$&amp;XPATH=/PG(0)&amp;EPUB=Y","http://ovidsp.ovid.com/ovidweb.cgi?T=JS&amp;NEWS=n&amp;CSC=Y&amp;PAGE=booktext&amp;D=books&amp;AN=01382743$&amp;XPATH=/PG(0)&amp;EPUB=Y")</f>
        <v>http://ovidsp.ovid.com/ovidweb.cgi?T=JS&amp;NEWS=n&amp;CSC=Y&amp;PAGE=booktext&amp;D=books&amp;AN=01382743$&amp;XPATH=/PG(0)&amp;EPUB=Y</v>
      </c>
      <c r="H194" s="8" t="s">
        <v>1220</v>
      </c>
    </row>
    <row r="195" spans="1:8" x14ac:dyDescent="0.25">
      <c r="A195" s="4" t="s">
        <v>284</v>
      </c>
      <c r="B195" s="5">
        <v>44137</v>
      </c>
      <c r="C195" s="6" t="s">
        <v>764</v>
      </c>
      <c r="D195" s="6" t="s">
        <v>1241</v>
      </c>
      <c r="E195" s="6" t="s">
        <v>1525</v>
      </c>
      <c r="F195" s="6" t="s">
        <v>171</v>
      </c>
      <c r="G195" s="7" t="str">
        <f>HYPERLINK("http://ovidsp.ovid.com/ovidweb.cgi?T=JS&amp;NEWS=n&amp;CSC=Y&amp;PAGE=booktext&amp;D=books&amp;AN=02003482$&amp;XPATH=/PG(0)&amp;EPUB=Y","http://ovidsp.ovid.com/ovidweb.cgi?T=JS&amp;NEWS=n&amp;CSC=Y&amp;PAGE=booktext&amp;D=books&amp;AN=02003482$&amp;XPATH=/PG(0)&amp;EPUB=Y")</f>
        <v>http://ovidsp.ovid.com/ovidweb.cgi?T=JS&amp;NEWS=n&amp;CSC=Y&amp;PAGE=booktext&amp;D=books&amp;AN=02003482$&amp;XPATH=/PG(0)&amp;EPUB=Y</v>
      </c>
      <c r="H195" s="8" t="s">
        <v>1220</v>
      </c>
    </row>
    <row r="196" spans="1:8" x14ac:dyDescent="0.25">
      <c r="A196" s="9" t="s">
        <v>470</v>
      </c>
      <c r="B196" s="10">
        <v>44137</v>
      </c>
      <c r="C196" s="11" t="s">
        <v>434</v>
      </c>
      <c r="D196" s="11" t="s">
        <v>70</v>
      </c>
      <c r="E196" s="11" t="s">
        <v>1525</v>
      </c>
      <c r="F196" s="11" t="s">
        <v>101</v>
      </c>
      <c r="G196" s="12" t="str">
        <f>HYPERLINK("http://ovidsp.ovid.com/ovidweb.cgi?T=JS&amp;NEWS=n&amp;CSC=Y&amp;PAGE=booktext&amp;D=books&amp;AN=02097263$&amp;XPATH=/PG(0)&amp;EPUB=Y","http://ovidsp.ovid.com/ovidweb.cgi?T=JS&amp;NEWS=n&amp;CSC=Y&amp;PAGE=booktext&amp;D=books&amp;AN=02097263$&amp;XPATH=/PG(0)&amp;EPUB=Y")</f>
        <v>http://ovidsp.ovid.com/ovidweb.cgi?T=JS&amp;NEWS=n&amp;CSC=Y&amp;PAGE=booktext&amp;D=books&amp;AN=02097263$&amp;XPATH=/PG(0)&amp;EPUB=Y</v>
      </c>
      <c r="H196" s="13" t="s">
        <v>1314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7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26.28515625" bestFit="1" customWidth="1"/>
    <col min="2" max="2" width="78.42578125" bestFit="1" customWidth="1"/>
  </cols>
  <sheetData>
    <row r="1" spans="1:2" x14ac:dyDescent="0.25">
      <c r="A1" s="1" t="s">
        <v>56</v>
      </c>
      <c r="B1" s="3" t="s">
        <v>1503</v>
      </c>
    </row>
    <row r="2" spans="1:2" x14ac:dyDescent="0.25">
      <c r="A2" s="4" t="s">
        <v>29</v>
      </c>
      <c r="B2" s="14" t="str">
        <f>HYPERLINK("http://ovidsp.ovid.com/ovidweb.cgi?T=JS&amp;NEWS=n&amp;CSC=Y&amp;PAGE=browse&amp;D=ovft","http://ovidsp.ovid.com/ovidweb.cgi?T=JS&amp;NEWS=n&amp;CSC=Y&amp;PAGE=browse&amp;D=ovft")</f>
        <v>http://ovidsp.ovid.com/ovidweb.cgi?T=JS&amp;NEWS=n&amp;CSC=Y&amp;PAGE=browse&amp;D=ovft</v>
      </c>
    </row>
    <row r="3" spans="1:2" x14ac:dyDescent="0.25">
      <c r="A3" s="4" t="s">
        <v>656</v>
      </c>
      <c r="B3" s="14" t="str">
        <f>HYPERLINK("http://ovidsp.ovid.com/ovidweb.cgi?T=JS&amp;NEWS=n&amp;CSC=Y&amp;PAGE=main&amp;D=baov","http://ovidsp.ovid.com/ovidweb.cgi?T=JS&amp;NEWS=n&amp;CSC=Y&amp;PAGE=main&amp;D=baov")</f>
        <v>http://ovidsp.ovid.com/ovidweb.cgi?T=JS&amp;NEWS=n&amp;CSC=Y&amp;PAGE=main&amp;D=baov</v>
      </c>
    </row>
    <row r="4" spans="1:2" x14ac:dyDescent="0.25">
      <c r="A4" s="4" t="s">
        <v>1148</v>
      </c>
      <c r="B4" s="14" t="str">
        <f>HYPERLINK("http://ovidsp.ovid.com/ovidweb.cgi?T=JS&amp;NEWS=n&amp;CSC=Y&amp;PAGE=browse&amp;D=yrovft","http://ovidsp.ovid.com/ovidweb.cgi?T=JS&amp;NEWS=n&amp;CSC=Y&amp;PAGE=browse&amp;D=yrovft")</f>
        <v>http://ovidsp.ovid.com/ovidweb.cgi?T=JS&amp;NEWS=n&amp;CSC=Y&amp;PAGE=browse&amp;D=yrovft</v>
      </c>
    </row>
    <row r="5" spans="1:2" x14ac:dyDescent="0.25">
      <c r="A5" s="4" t="s">
        <v>1690</v>
      </c>
      <c r="B5" s="14" t="str">
        <f>HYPERLINK("http://ovidsp.ovid.com/ovidweb.cgi?T=JS&amp;NEWS=n&amp;PAGE=main&amp;D=ovft","http://ovidsp.ovid.com/ovidweb.cgi?T=JS&amp;NEWS=n&amp;PAGE=main&amp;D=ovft")</f>
        <v>http://ovidsp.ovid.com/ovidweb.cgi?T=JS&amp;NEWS=n&amp;PAGE=main&amp;D=ovft</v>
      </c>
    </row>
    <row r="6" spans="1:2" x14ac:dyDescent="0.25">
      <c r="A6" s="4" t="s">
        <v>160</v>
      </c>
      <c r="B6" s="14" t="str">
        <f>HYPERLINK("http://ovidsp.ovid.com/ovidweb.cgi?T=JS&amp;NEWS=n&amp;PAGE=main&amp;D=books","http://ovidsp.ovid.com/ovidweb.cgi?T=JS&amp;NEWS=n&amp;PAGE=main&amp;D=books")</f>
        <v>http://ovidsp.ovid.com/ovidweb.cgi?T=JS&amp;NEWS=n&amp;PAGE=main&amp;D=books</v>
      </c>
    </row>
    <row r="7" spans="1:2" x14ac:dyDescent="0.25">
      <c r="A7" s="9" t="s">
        <v>205</v>
      </c>
      <c r="B7" s="15" t="str">
        <f>HYPERLINK("http://ovidsp.ovid.com/ovidweb.cgi?T=JS&amp;NEWS=n&amp;PAGE=main&amp;D=yrovft","http://ovidsp.ovid.com/ovidweb.cgi?T=JS&amp;NEWS=n&amp;PAGE=main&amp;D=yrovft")</f>
        <v>http://ovidsp.ovid.com/ovidweb.cgi?T=JS&amp;NEWS=n&amp;PAGE=main&amp;D=yrovft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C603570B0EAA488F0EEC82A5280300" ma:contentTypeVersion="14" ma:contentTypeDescription="Create a new document." ma:contentTypeScope="" ma:versionID="ef5fefd07c8d0a20266d06aee555f424">
  <xsd:schema xmlns:xsd="http://www.w3.org/2001/XMLSchema" xmlns:xs="http://www.w3.org/2001/XMLSchema" xmlns:p="http://schemas.microsoft.com/office/2006/metadata/properties" xmlns:ns1="http://schemas.microsoft.com/sharepoint/v3" xmlns:ns3="c954129e-f349-41de-8671-c4dc20798171" xmlns:ns4="0807cfda-52df-45fd-91d2-137d5514a475" targetNamespace="http://schemas.microsoft.com/office/2006/metadata/properties" ma:root="true" ma:fieldsID="e8cf3836aa66ed3c3c8127e2d6248bec" ns1:_="" ns3:_="" ns4:_="">
    <xsd:import namespace="http://schemas.microsoft.com/sharepoint/v3"/>
    <xsd:import namespace="c954129e-f349-41de-8671-c4dc20798171"/>
    <xsd:import namespace="0807cfda-52df-45fd-91d2-137d5514a4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4129e-f349-41de-8671-c4dc207981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7cfda-52df-45fd-91d2-137d5514a47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44ADD6-1301-40DD-A547-B9C520EBF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54129e-f349-41de-8671-c4dc20798171"/>
    <ds:schemaRef ds:uri="0807cfda-52df-45fd-91d2-137d5514a4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CAA3AB-77D5-45BC-9AF4-4AE0AFF26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04EE0C-C17E-4494-AB3D-871AA089BC7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FutureJournals</vt:lpstr>
      <vt:lpstr>Future Books</vt:lpstr>
      <vt:lpstr>Browse URLs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Manuel.Aguado</cp:lastModifiedBy>
  <dcterms:created xsi:type="dcterms:W3CDTF">2020-10-28T09:45:24Z</dcterms:created>
  <dcterms:modified xsi:type="dcterms:W3CDTF">2020-10-28T09:52:07Z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0x010100C9C603570B0EAA488F0EEC82A5280300</vt:lpwstr>
  </property>
</Properties>
</file>